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David Connolly" algorithmName="SHA-512" hashValue="CjtuO1E/Tzureb8SkyaW/IEvaLw2MrMUXyXeyZvFTH/w2pPEQpUOPCaWpK0U9h+mSFx2Hc178OfwG+a3fjyA3w==" saltValue="ud/p68IeDUdQoEal6MrgHg==" spinCount="100000"/>
  <workbookPr filterPrivacy="1" showInkAnnotation="0" codeName="Denne_projektmappe"/>
  <workbookProtection workbookAlgorithmName="SHA-512" workbookHashValue="AfaAy8l2Utz3SIKvNtQlTgJSzBOyHlgVFtymCe/ixOUPWYnVYgWRrRYfgzfXUgZV83tr3EcWxtZ1abK1IvBWIg==" workbookSaltValue="yRSQAsL04cCZt7f9Apx7Gg==" workbookSpinCount="100000" lockStructure="1"/>
  <bookViews>
    <workbookView xWindow="15" yWindow="-30" windowWidth="14160" windowHeight="11760"/>
  </bookViews>
  <sheets>
    <sheet name="INFO" sheetId="18" r:id="rId1"/>
    <sheet name="Results" sheetId="20" r:id="rId2"/>
    <sheet name="Scenarios technology" sheetId="2" r:id="rId3"/>
    <sheet name="Growth, Modal Shift, InfraCosts" sheetId="5" r:id="rId4"/>
    <sheet name="Vehicle Costs" sheetId="25" r:id="rId5"/>
    <sheet name="EnergyPLAN" sheetId="21" r:id="rId6"/>
    <sheet name="Tables and graphs" sheetId="23" r:id="rId7"/>
  </sheets>
  <calcPr calcId="152511"/>
</workbook>
</file>

<file path=xl/calcChain.xml><?xml version="1.0" encoding="utf-8"?>
<calcChain xmlns="http://schemas.openxmlformats.org/spreadsheetml/2006/main">
  <c r="AF7" i="20" l="1"/>
  <c r="AD7" i="20"/>
  <c r="AD21" i="20" s="1"/>
  <c r="AC7" i="20"/>
  <c r="AC21" i="20" s="1"/>
  <c r="AB7" i="20"/>
  <c r="AB21" i="20" s="1"/>
  <c r="AF21" i="20"/>
  <c r="AE7" i="20" l="1"/>
  <c r="AE21" i="20" s="1"/>
  <c r="AQ66" i="5"/>
  <c r="AQ65" i="5"/>
  <c r="AQ64" i="5"/>
  <c r="AQ63" i="5"/>
  <c r="AQ61" i="5"/>
  <c r="AQ58" i="5"/>
  <c r="AQ55" i="5"/>
  <c r="AQ51" i="5"/>
  <c r="AQ47" i="5"/>
  <c r="AQ41" i="5"/>
  <c r="AQ36" i="5"/>
  <c r="AQ37" i="5"/>
  <c r="AQ30" i="5"/>
  <c r="AQ24" i="5"/>
  <c r="AQ29" i="5"/>
  <c r="AQ19" i="5"/>
  <c r="AQ22" i="5"/>
  <c r="AW67" i="5" l="1"/>
  <c r="BI67" i="5" s="1"/>
  <c r="BP56" i="5" s="1"/>
  <c r="BP70" i="5" s="1"/>
  <c r="AU67" i="5"/>
  <c r="BG67" i="5" s="1"/>
  <c r="AS67" i="5"/>
  <c r="BF67" i="5" s="1"/>
  <c r="BM56" i="5" s="1"/>
  <c r="BM70" i="5" s="1"/>
  <c r="AP67" i="5"/>
  <c r="BD67" i="5" s="1"/>
  <c r="BK56" i="5" s="1"/>
  <c r="BK70" i="5" s="1"/>
  <c r="BF66" i="5"/>
  <c r="AW66" i="5"/>
  <c r="BI66" i="5" s="1"/>
  <c r="AV66" i="5"/>
  <c r="BB66" i="5" s="1"/>
  <c r="AU66" i="5"/>
  <c r="BG66" i="5" s="1"/>
  <c r="AT66" i="5"/>
  <c r="BA66" i="5" s="1"/>
  <c r="AS66" i="5"/>
  <c r="AR66" i="5"/>
  <c r="AZ66" i="5" s="1"/>
  <c r="BE66" i="5"/>
  <c r="AP66" i="5"/>
  <c r="BD66" i="5" s="1"/>
  <c r="BI65" i="5"/>
  <c r="AW65" i="5"/>
  <c r="AU65" i="5"/>
  <c r="BG65" i="5" s="1"/>
  <c r="AT65" i="5"/>
  <c r="BA65" i="5" s="1"/>
  <c r="BM83" i="5" s="1"/>
  <c r="AS65" i="5"/>
  <c r="BF65" i="5" s="1"/>
  <c r="BM55" i="5" s="1"/>
  <c r="BM69" i="5" s="1"/>
  <c r="AR65" i="5"/>
  <c r="AZ65" i="5" s="1"/>
  <c r="BL83" i="5" s="1"/>
  <c r="BE65" i="5"/>
  <c r="BL55" i="5" s="1"/>
  <c r="AP65" i="5"/>
  <c r="BD65" i="5" s="1"/>
  <c r="BK55" i="5" s="1"/>
  <c r="BK69" i="5" s="1"/>
  <c r="AW64" i="5"/>
  <c r="BI64" i="5" s="1"/>
  <c r="BP54" i="5" s="1"/>
  <c r="AU64" i="5"/>
  <c r="BG64" i="5" s="1"/>
  <c r="AT64" i="5"/>
  <c r="BA64" i="5" s="1"/>
  <c r="BM82" i="5" s="1"/>
  <c r="AS64" i="5"/>
  <c r="BF64" i="5" s="1"/>
  <c r="BM54" i="5" s="1"/>
  <c r="BM68" i="5" s="1"/>
  <c r="AR64" i="5"/>
  <c r="AZ64" i="5" s="1"/>
  <c r="BL82" i="5" s="1"/>
  <c r="BE64" i="5"/>
  <c r="BL54" i="5" s="1"/>
  <c r="AP64" i="5"/>
  <c r="BD64" i="5" s="1"/>
  <c r="BK54" i="5" s="1"/>
  <c r="BK68" i="5" s="1"/>
  <c r="BI63" i="5"/>
  <c r="BP53" i="5" s="1"/>
  <c r="AW63" i="5"/>
  <c r="AU63" i="5"/>
  <c r="BG63" i="5" s="1"/>
  <c r="AT63" i="5"/>
  <c r="BA63" i="5" s="1"/>
  <c r="BM81" i="5" s="1"/>
  <c r="AS63" i="5"/>
  <c r="BF63" i="5" s="1"/>
  <c r="AR63" i="5"/>
  <c r="AZ63" i="5" s="1"/>
  <c r="BL81" i="5" s="1"/>
  <c r="BE63" i="5"/>
  <c r="BL53" i="5" s="1"/>
  <c r="AP63" i="5"/>
  <c r="BD63" i="5" s="1"/>
  <c r="BF62" i="5"/>
  <c r="AW62" i="5"/>
  <c r="BI62" i="5" s="1"/>
  <c r="AV62" i="5"/>
  <c r="BB62" i="5" s="1"/>
  <c r="BN80" i="5" s="1"/>
  <c r="AU62" i="5"/>
  <c r="BG62" i="5" s="1"/>
  <c r="AT62" i="5"/>
  <c r="BA62" i="5" s="1"/>
  <c r="BM80" i="5" s="1"/>
  <c r="AS62" i="5"/>
  <c r="AR62" i="5"/>
  <c r="AZ62" i="5" s="1"/>
  <c r="BL80" i="5" s="1"/>
  <c r="AP62" i="5"/>
  <c r="BD62" i="5" s="1"/>
  <c r="BK52" i="5" s="1"/>
  <c r="BK66" i="5" s="1"/>
  <c r="AW61" i="5"/>
  <c r="BI61" i="5" s="1"/>
  <c r="AU61" i="5"/>
  <c r="BG61" i="5" s="1"/>
  <c r="AT61" i="5"/>
  <c r="BA61" i="5" s="1"/>
  <c r="BM79" i="5" s="1"/>
  <c r="AS61" i="5"/>
  <c r="BF61" i="5" s="1"/>
  <c r="BM51" i="5" s="1"/>
  <c r="BM65" i="5" s="1"/>
  <c r="AR61" i="5"/>
  <c r="AZ61" i="5" s="1"/>
  <c r="BL79" i="5" s="1"/>
  <c r="BE61" i="5"/>
  <c r="BL51" i="5" s="1"/>
  <c r="AP61" i="5"/>
  <c r="BD61" i="5" s="1"/>
  <c r="BK60" i="5"/>
  <c r="AW60" i="5"/>
  <c r="BI60" i="5" s="1"/>
  <c r="AV60" i="5"/>
  <c r="BB60" i="5" s="1"/>
  <c r="AU60" i="5"/>
  <c r="BG60" i="5" s="1"/>
  <c r="AT60" i="5"/>
  <c r="BA60" i="5" s="1"/>
  <c r="AS60" i="5"/>
  <c r="BF60" i="5" s="1"/>
  <c r="AR60" i="5"/>
  <c r="AZ60" i="5" s="1"/>
  <c r="AP60" i="5"/>
  <c r="BD60" i="5" s="1"/>
  <c r="AW59" i="5"/>
  <c r="BI59" i="5" s="1"/>
  <c r="BH59" i="5" s="1"/>
  <c r="AV59" i="5"/>
  <c r="BB59" i="5" s="1"/>
  <c r="AU59" i="5"/>
  <c r="BG59" i="5" s="1"/>
  <c r="AT59" i="5"/>
  <c r="BA59" i="5" s="1"/>
  <c r="AS59" i="5"/>
  <c r="BF59" i="5" s="1"/>
  <c r="AR59" i="5"/>
  <c r="AZ59" i="5" s="1"/>
  <c r="AP59" i="5"/>
  <c r="BD59" i="5" s="1"/>
  <c r="BI58" i="5"/>
  <c r="BP50" i="5" s="1"/>
  <c r="BF58" i="5"/>
  <c r="BM50" i="5" s="1"/>
  <c r="BM64" i="5" s="1"/>
  <c r="AW58" i="5"/>
  <c r="AU58" i="5"/>
  <c r="BG58" i="5" s="1"/>
  <c r="AS58" i="5"/>
  <c r="BE58" i="5"/>
  <c r="BL50" i="5" s="1"/>
  <c r="AP58" i="5"/>
  <c r="BD58" i="5" s="1"/>
  <c r="BF57" i="5"/>
  <c r="AW57" i="5"/>
  <c r="BI57" i="5" s="1"/>
  <c r="AV57" i="5"/>
  <c r="BB57" i="5" s="1"/>
  <c r="AU57" i="5"/>
  <c r="BG57" i="5" s="1"/>
  <c r="AT57" i="5"/>
  <c r="BA57" i="5" s="1"/>
  <c r="AS57" i="5"/>
  <c r="AR57" i="5"/>
  <c r="AZ57" i="5" s="1"/>
  <c r="AP57" i="5"/>
  <c r="BD57" i="5" s="1"/>
  <c r="BF56" i="5"/>
  <c r="AW56" i="5"/>
  <c r="BI56" i="5" s="1"/>
  <c r="AV56" i="5"/>
  <c r="BB56" i="5" s="1"/>
  <c r="AU56" i="5"/>
  <c r="BG56" i="5" s="1"/>
  <c r="BH56" i="5" s="1"/>
  <c r="AT56" i="5"/>
  <c r="BA56" i="5" s="1"/>
  <c r="AS56" i="5"/>
  <c r="AR56" i="5"/>
  <c r="AZ56" i="5" s="1"/>
  <c r="AP56" i="5"/>
  <c r="AY56" i="5" s="1"/>
  <c r="BP55" i="5"/>
  <c r="BF55" i="5"/>
  <c r="AW55" i="5"/>
  <c r="BI55" i="5" s="1"/>
  <c r="AU55" i="5"/>
  <c r="BG55" i="5" s="1"/>
  <c r="BH55" i="5" s="1"/>
  <c r="BO47" i="5" s="1"/>
  <c r="AS55" i="5"/>
  <c r="BE55" i="5"/>
  <c r="BL47" i="5" s="1"/>
  <c r="AP55" i="5"/>
  <c r="BD55" i="5" s="1"/>
  <c r="BK47" i="5" s="1"/>
  <c r="BK61" i="5" s="1"/>
  <c r="BF54" i="5"/>
  <c r="AW54" i="5"/>
  <c r="BI54" i="5" s="1"/>
  <c r="AV54" i="5"/>
  <c r="BB54" i="5" s="1"/>
  <c r="AU54" i="5"/>
  <c r="BG54" i="5" s="1"/>
  <c r="BH54" i="5" s="1"/>
  <c r="AT54" i="5"/>
  <c r="BA54" i="5" s="1"/>
  <c r="AS54" i="5"/>
  <c r="AR54" i="5"/>
  <c r="AZ54" i="5" s="1"/>
  <c r="AP54" i="5"/>
  <c r="BD54" i="5" s="1"/>
  <c r="BM53" i="5"/>
  <c r="BK53" i="5"/>
  <c r="BK67" i="5" s="1"/>
  <c r="AW53" i="5"/>
  <c r="BI53" i="5" s="1"/>
  <c r="AV53" i="5"/>
  <c r="BB53" i="5" s="1"/>
  <c r="AU53" i="5"/>
  <c r="BG53" i="5" s="1"/>
  <c r="AT53" i="5"/>
  <c r="BA53" i="5" s="1"/>
  <c r="AS53" i="5"/>
  <c r="BF53" i="5" s="1"/>
  <c r="AR53" i="5"/>
  <c r="AZ53" i="5" s="1"/>
  <c r="AP53" i="5"/>
  <c r="AY53" i="5" s="1"/>
  <c r="BP52" i="5"/>
  <c r="BM52" i="5"/>
  <c r="AW52" i="5"/>
  <c r="BI52" i="5" s="1"/>
  <c r="AV52" i="5"/>
  <c r="BB52" i="5" s="1"/>
  <c r="AU52" i="5"/>
  <c r="BG52" i="5" s="1"/>
  <c r="AT52" i="5"/>
  <c r="BA52" i="5" s="1"/>
  <c r="AS52" i="5"/>
  <c r="BF52" i="5" s="1"/>
  <c r="AR52" i="5"/>
  <c r="AZ52" i="5" s="1"/>
  <c r="AP52" i="5"/>
  <c r="BD52" i="5" s="1"/>
  <c r="BP51" i="5"/>
  <c r="BP65" i="5" s="1"/>
  <c r="BK51" i="5"/>
  <c r="BK65" i="5" s="1"/>
  <c r="BF51" i="5"/>
  <c r="AW51" i="5"/>
  <c r="BI51" i="5" s="1"/>
  <c r="BP49" i="5" s="1"/>
  <c r="AU51" i="5"/>
  <c r="BG51" i="5" s="1"/>
  <c r="AS51" i="5"/>
  <c r="BE51" i="5"/>
  <c r="BL49" i="5" s="1"/>
  <c r="AP51" i="5"/>
  <c r="AY51" i="5" s="1"/>
  <c r="BK76" i="5" s="1"/>
  <c r="BK50" i="5"/>
  <c r="BK64" i="5" s="1"/>
  <c r="BF50" i="5"/>
  <c r="AW50" i="5"/>
  <c r="BI50" i="5" s="1"/>
  <c r="AV50" i="5"/>
  <c r="BB50" i="5" s="1"/>
  <c r="AU50" i="5"/>
  <c r="BG50" i="5" s="1"/>
  <c r="AT50" i="5"/>
  <c r="BA50" i="5" s="1"/>
  <c r="AS50" i="5"/>
  <c r="AR50" i="5"/>
  <c r="AZ50" i="5" s="1"/>
  <c r="AP50" i="5"/>
  <c r="BD50" i="5" s="1"/>
  <c r="BM49" i="5"/>
  <c r="AW49" i="5"/>
  <c r="BI49" i="5" s="1"/>
  <c r="AV49" i="5"/>
  <c r="BB49" i="5" s="1"/>
  <c r="AU49" i="5"/>
  <c r="BG49" i="5" s="1"/>
  <c r="BH49" i="5" s="1"/>
  <c r="AT49" i="5"/>
  <c r="BA49" i="5" s="1"/>
  <c r="AS49" i="5"/>
  <c r="BF49" i="5" s="1"/>
  <c r="AR49" i="5"/>
  <c r="AZ49" i="5" s="1"/>
  <c r="AP49" i="5"/>
  <c r="BD49" i="5" s="1"/>
  <c r="BF48" i="5"/>
  <c r="AW48" i="5"/>
  <c r="BI48" i="5" s="1"/>
  <c r="AV48" i="5"/>
  <c r="BB48" i="5" s="1"/>
  <c r="AU48" i="5"/>
  <c r="BG48" i="5" s="1"/>
  <c r="BH48" i="5" s="1"/>
  <c r="AT48" i="5"/>
  <c r="BA48" i="5" s="1"/>
  <c r="AS48" i="5"/>
  <c r="AR48" i="5"/>
  <c r="AZ48" i="5" s="1"/>
  <c r="AP48" i="5"/>
  <c r="BD48" i="5" s="1"/>
  <c r="BP47" i="5"/>
  <c r="BN47" i="5"/>
  <c r="BM47" i="5"/>
  <c r="AW47" i="5"/>
  <c r="BI47" i="5" s="1"/>
  <c r="BP48" i="5" s="1"/>
  <c r="BP62" i="5" s="1"/>
  <c r="AU47" i="5"/>
  <c r="BG47" i="5" s="1"/>
  <c r="AS47" i="5"/>
  <c r="BF47" i="5" s="1"/>
  <c r="BM48" i="5" s="1"/>
  <c r="BM62" i="5" s="1"/>
  <c r="BE47" i="5"/>
  <c r="BL48" i="5" s="1"/>
  <c r="AP47" i="5"/>
  <c r="BD47" i="5" s="1"/>
  <c r="BK48" i="5" s="1"/>
  <c r="BK62" i="5" s="1"/>
  <c r="BF46" i="5"/>
  <c r="BE46" i="5"/>
  <c r="BB46" i="5"/>
  <c r="AW46" i="5"/>
  <c r="BI46" i="5" s="1"/>
  <c r="AV46" i="5"/>
  <c r="AU46" i="5"/>
  <c r="BG46" i="5" s="1"/>
  <c r="AT46" i="5"/>
  <c r="BA46" i="5" s="1"/>
  <c r="AR46" i="5"/>
  <c r="AZ46" i="5" s="1"/>
  <c r="AP46" i="5"/>
  <c r="AY46" i="5" s="1"/>
  <c r="BI45" i="5"/>
  <c r="BP46" i="5" s="1"/>
  <c r="BP60" i="5" s="1"/>
  <c r="BH45" i="5"/>
  <c r="BO46" i="5" s="1"/>
  <c r="BO60" i="5" s="1"/>
  <c r="BG45" i="5"/>
  <c r="BN46" i="5" s="1"/>
  <c r="BN60" i="5" s="1"/>
  <c r="BF45" i="5"/>
  <c r="BM46" i="5" s="1"/>
  <c r="BM60" i="5" s="1"/>
  <c r="BE45" i="5"/>
  <c r="BL46" i="5" s="1"/>
  <c r="BL60" i="5" s="1"/>
  <c r="BB45" i="5"/>
  <c r="BN74" i="5" s="1"/>
  <c r="AV45" i="5"/>
  <c r="AT45" i="5"/>
  <c r="AR45" i="5"/>
  <c r="AP45" i="5"/>
  <c r="AY45" i="5" s="1"/>
  <c r="BK73" i="5" s="1"/>
  <c r="AW43" i="5"/>
  <c r="BI43" i="5" s="1"/>
  <c r="AU43" i="5"/>
  <c r="BG43" i="5" s="1"/>
  <c r="AS43" i="5"/>
  <c r="BF43" i="5" s="1"/>
  <c r="AP43" i="5"/>
  <c r="BD43" i="5" s="1"/>
  <c r="BK12" i="5" s="1"/>
  <c r="BK23" i="5" s="1"/>
  <c r="AW42" i="5"/>
  <c r="BI42" i="5" s="1"/>
  <c r="AV42" i="5"/>
  <c r="BB42" i="5" s="1"/>
  <c r="AU42" i="5"/>
  <c r="BG42" i="5" s="1"/>
  <c r="AT42" i="5"/>
  <c r="BA42" i="5" s="1"/>
  <c r="AS42" i="5"/>
  <c r="BF42" i="5" s="1"/>
  <c r="AR42" i="5"/>
  <c r="AZ42" i="5" s="1"/>
  <c r="AP42" i="5"/>
  <c r="BD42" i="5" s="1"/>
  <c r="BD41" i="5"/>
  <c r="AW41" i="5"/>
  <c r="BI41" i="5" s="1"/>
  <c r="AU41" i="5"/>
  <c r="BG41" i="5" s="1"/>
  <c r="AT41" i="5"/>
  <c r="BA41" i="5" s="1"/>
  <c r="AS41" i="5"/>
  <c r="BF41" i="5" s="1"/>
  <c r="AR41" i="5"/>
  <c r="AZ41" i="5" s="1"/>
  <c r="BE41" i="5"/>
  <c r="AP41" i="5"/>
  <c r="AY41" i="5" s="1"/>
  <c r="BF40" i="5"/>
  <c r="BM11" i="5" s="1"/>
  <c r="AW40" i="5"/>
  <c r="BI40" i="5" s="1"/>
  <c r="AU40" i="5"/>
  <c r="BG40" i="5" s="1"/>
  <c r="BH40" i="5" s="1"/>
  <c r="BO11" i="5" s="1"/>
  <c r="AS40" i="5"/>
  <c r="AP40" i="5"/>
  <c r="BD40" i="5" s="1"/>
  <c r="AW39" i="5"/>
  <c r="BI39" i="5" s="1"/>
  <c r="AU39" i="5"/>
  <c r="BG39" i="5" s="1"/>
  <c r="AT39" i="5"/>
  <c r="BA39" i="5" s="1"/>
  <c r="AS39" i="5"/>
  <c r="BF39" i="5" s="1"/>
  <c r="AR39" i="5"/>
  <c r="AZ39" i="5" s="1"/>
  <c r="AP39" i="5"/>
  <c r="AY39" i="5" s="1"/>
  <c r="BF38" i="5"/>
  <c r="AW38" i="5"/>
  <c r="BI38" i="5" s="1"/>
  <c r="AU38" i="5"/>
  <c r="BG38" i="5" s="1"/>
  <c r="AT38" i="5"/>
  <c r="BA38" i="5" s="1"/>
  <c r="AS38" i="5"/>
  <c r="AR38" i="5"/>
  <c r="AZ38" i="5" s="1"/>
  <c r="AP38" i="5"/>
  <c r="BD38" i="5" s="1"/>
  <c r="BF37" i="5"/>
  <c r="AW37" i="5"/>
  <c r="BI37" i="5" s="1"/>
  <c r="AU37" i="5"/>
  <c r="BG37" i="5" s="1"/>
  <c r="BH37" i="5" s="1"/>
  <c r="AS37" i="5"/>
  <c r="BE37" i="5"/>
  <c r="AP37" i="5"/>
  <c r="AY37" i="5" s="1"/>
  <c r="AW36" i="5"/>
  <c r="BI36" i="5" s="1"/>
  <c r="AU36" i="5"/>
  <c r="BG36" i="5" s="1"/>
  <c r="AT36" i="5"/>
  <c r="BA36" i="5" s="1"/>
  <c r="AS36" i="5"/>
  <c r="BF36" i="5" s="1"/>
  <c r="AR36" i="5"/>
  <c r="AZ36" i="5" s="1"/>
  <c r="BE36" i="5"/>
  <c r="AP36" i="5"/>
  <c r="BD36" i="5" s="1"/>
  <c r="BF35" i="5"/>
  <c r="AW35" i="5"/>
  <c r="BI35" i="5" s="1"/>
  <c r="AU35" i="5"/>
  <c r="BG35" i="5" s="1"/>
  <c r="BH35" i="5" s="1"/>
  <c r="BO10" i="5" s="1"/>
  <c r="AS35" i="5"/>
  <c r="AP35" i="5"/>
  <c r="BD35" i="5" s="1"/>
  <c r="BK10" i="5" s="1"/>
  <c r="BK21" i="5" s="1"/>
  <c r="BF34" i="5"/>
  <c r="AW34" i="5"/>
  <c r="BI34" i="5" s="1"/>
  <c r="AU34" i="5"/>
  <c r="BG34" i="5" s="1"/>
  <c r="AT34" i="5"/>
  <c r="BA34" i="5" s="1"/>
  <c r="AS34" i="5"/>
  <c r="AR34" i="5"/>
  <c r="AZ34" i="5" s="1"/>
  <c r="AP34" i="5"/>
  <c r="BD34" i="5" s="1"/>
  <c r="AW33" i="5"/>
  <c r="BI33" i="5" s="1"/>
  <c r="BH33" i="5" s="1"/>
  <c r="AU33" i="5"/>
  <c r="BG33" i="5" s="1"/>
  <c r="AT33" i="5"/>
  <c r="BA33" i="5" s="1"/>
  <c r="AS33" i="5"/>
  <c r="BF33" i="5" s="1"/>
  <c r="AR33" i="5"/>
  <c r="AZ33" i="5" s="1"/>
  <c r="AP33" i="5"/>
  <c r="AY33" i="5" s="1"/>
  <c r="BF32" i="5"/>
  <c r="AW32" i="5"/>
  <c r="BI32" i="5" s="1"/>
  <c r="AU32" i="5"/>
  <c r="BG32" i="5" s="1"/>
  <c r="BH32" i="5" s="1"/>
  <c r="AT32" i="5"/>
  <c r="BA32" i="5" s="1"/>
  <c r="AS32" i="5"/>
  <c r="AR32" i="5"/>
  <c r="AZ32" i="5" s="1"/>
  <c r="AP32" i="5"/>
  <c r="BD32" i="5" s="1"/>
  <c r="BF31" i="5"/>
  <c r="AW31" i="5"/>
  <c r="BI31" i="5" s="1"/>
  <c r="AU31" i="5"/>
  <c r="BG31" i="5" s="1"/>
  <c r="BH31" i="5" s="1"/>
  <c r="AT31" i="5"/>
  <c r="BA31" i="5" s="1"/>
  <c r="AS31" i="5"/>
  <c r="AR31" i="5"/>
  <c r="AZ31" i="5" s="1"/>
  <c r="AP31" i="5"/>
  <c r="BD31" i="5" s="1"/>
  <c r="AW30" i="5"/>
  <c r="BI30" i="5" s="1"/>
  <c r="AU30" i="5"/>
  <c r="BG30" i="5" s="1"/>
  <c r="AS30" i="5"/>
  <c r="BF30" i="5" s="1"/>
  <c r="BM6" i="5" s="1"/>
  <c r="BE30" i="5"/>
  <c r="BL6" i="5" s="1"/>
  <c r="AP30" i="5"/>
  <c r="BD30" i="5" s="1"/>
  <c r="BG29" i="5"/>
  <c r="BF29" i="5"/>
  <c r="AW29" i="5"/>
  <c r="BI29" i="5" s="1"/>
  <c r="AU29" i="5"/>
  <c r="AT29" i="5"/>
  <c r="BA29" i="5" s="1"/>
  <c r="AS29" i="5"/>
  <c r="AR29" i="5"/>
  <c r="AZ29" i="5" s="1"/>
  <c r="BE29" i="5"/>
  <c r="AP29" i="5"/>
  <c r="AY29" i="5" s="1"/>
  <c r="AW28" i="5"/>
  <c r="BI28" i="5" s="1"/>
  <c r="AU28" i="5"/>
  <c r="BG28" i="5" s="1"/>
  <c r="AT28" i="5"/>
  <c r="BA28" i="5" s="1"/>
  <c r="AS28" i="5"/>
  <c r="BF28" i="5" s="1"/>
  <c r="AR28" i="5"/>
  <c r="AZ28" i="5" s="1"/>
  <c r="AP28" i="5"/>
  <c r="BD28" i="5" s="1"/>
  <c r="BG27" i="5"/>
  <c r="AW27" i="5"/>
  <c r="BI27" i="5" s="1"/>
  <c r="AU27" i="5"/>
  <c r="AT27" i="5"/>
  <c r="BA27" i="5" s="1"/>
  <c r="AS27" i="5"/>
  <c r="BF27" i="5" s="1"/>
  <c r="AR27" i="5"/>
  <c r="AZ27" i="5" s="1"/>
  <c r="AP27" i="5"/>
  <c r="BD27" i="5" s="1"/>
  <c r="BF26" i="5"/>
  <c r="AW26" i="5"/>
  <c r="BI26" i="5" s="1"/>
  <c r="AU26" i="5"/>
  <c r="BG26" i="5" s="1"/>
  <c r="AT26" i="5"/>
  <c r="BA26" i="5" s="1"/>
  <c r="AS26" i="5"/>
  <c r="AR26" i="5"/>
  <c r="AZ26" i="5" s="1"/>
  <c r="AP26" i="5"/>
  <c r="BD26" i="5" s="1"/>
  <c r="BF25" i="5"/>
  <c r="AW25" i="5"/>
  <c r="BI25" i="5" s="1"/>
  <c r="AU25" i="5"/>
  <c r="BG25" i="5" s="1"/>
  <c r="BH25" i="5" s="1"/>
  <c r="AT25" i="5"/>
  <c r="BA25" i="5" s="1"/>
  <c r="AS25" i="5"/>
  <c r="AR25" i="5"/>
  <c r="AZ25" i="5" s="1"/>
  <c r="AP25" i="5"/>
  <c r="AY25" i="5" s="1"/>
  <c r="AW24" i="5"/>
  <c r="BI24" i="5" s="1"/>
  <c r="AU24" i="5"/>
  <c r="BG24" i="5" s="1"/>
  <c r="AS24" i="5"/>
  <c r="BF24" i="5" s="1"/>
  <c r="BE24" i="5"/>
  <c r="AP24" i="5"/>
  <c r="AY24" i="5" s="1"/>
  <c r="AW23" i="5"/>
  <c r="BI23" i="5" s="1"/>
  <c r="BP9" i="5" s="1"/>
  <c r="BP20" i="5" s="1"/>
  <c r="AU23" i="5"/>
  <c r="BG23" i="5" s="1"/>
  <c r="AS23" i="5"/>
  <c r="BF23" i="5" s="1"/>
  <c r="BM9" i="5" s="1"/>
  <c r="AP23" i="5"/>
  <c r="BD23" i="5" s="1"/>
  <c r="BK9" i="5" s="1"/>
  <c r="BK20" i="5" s="1"/>
  <c r="BI22" i="5"/>
  <c r="AW22" i="5"/>
  <c r="AU22" i="5"/>
  <c r="BG22" i="5" s="1"/>
  <c r="AT22" i="5"/>
  <c r="BA22" i="5" s="1"/>
  <c r="AS22" i="5"/>
  <c r="BF22" i="5" s="1"/>
  <c r="AR22" i="5"/>
  <c r="AZ22" i="5" s="1"/>
  <c r="BE22" i="5"/>
  <c r="AP22" i="5"/>
  <c r="BD22" i="5" s="1"/>
  <c r="BI21" i="5"/>
  <c r="AW21" i="5"/>
  <c r="AU21" i="5"/>
  <c r="BG21" i="5" s="1"/>
  <c r="AT21" i="5"/>
  <c r="BA21" i="5" s="1"/>
  <c r="AS21" i="5"/>
  <c r="BF21" i="5" s="1"/>
  <c r="AR21" i="5"/>
  <c r="AZ21" i="5" s="1"/>
  <c r="AP21" i="5"/>
  <c r="BD21" i="5" s="1"/>
  <c r="AZ20" i="5"/>
  <c r="AW20" i="5"/>
  <c r="BI20" i="5" s="1"/>
  <c r="AU20" i="5"/>
  <c r="BG20" i="5" s="1"/>
  <c r="AT20" i="5"/>
  <c r="BA20" i="5" s="1"/>
  <c r="AS20" i="5"/>
  <c r="BF20" i="5" s="1"/>
  <c r="AR20" i="5"/>
  <c r="AP20" i="5"/>
  <c r="BD20" i="5" s="1"/>
  <c r="AW19" i="5"/>
  <c r="BI19" i="5" s="1"/>
  <c r="AU19" i="5"/>
  <c r="BG19" i="5" s="1"/>
  <c r="AS19" i="5"/>
  <c r="BF19" i="5" s="1"/>
  <c r="BE19" i="5"/>
  <c r="AP19" i="5"/>
  <c r="BD19" i="5" s="1"/>
  <c r="AW18" i="5"/>
  <c r="BI18" i="5" s="1"/>
  <c r="BP8" i="5" s="1"/>
  <c r="BP19" i="5" s="1"/>
  <c r="AU18" i="5"/>
  <c r="BG18" i="5" s="1"/>
  <c r="AS18" i="5"/>
  <c r="BF18" i="5" s="1"/>
  <c r="BM8" i="5" s="1"/>
  <c r="BM19" i="5" s="1"/>
  <c r="AP18" i="5"/>
  <c r="BD18" i="5" s="1"/>
  <c r="BK8" i="5" s="1"/>
  <c r="BK19" i="5" s="1"/>
  <c r="AW17" i="5"/>
  <c r="BI17" i="5" s="1"/>
  <c r="AV17" i="5"/>
  <c r="BB17" i="5" s="1"/>
  <c r="AU17" i="5"/>
  <c r="BG17" i="5" s="1"/>
  <c r="AT17" i="5"/>
  <c r="BA17" i="5" s="1"/>
  <c r="AS17" i="5"/>
  <c r="BF17" i="5" s="1"/>
  <c r="AR17" i="5"/>
  <c r="AZ17" i="5" s="1"/>
  <c r="AP17" i="5"/>
  <c r="BD17" i="5" s="1"/>
  <c r="BN16" i="5"/>
  <c r="BK16" i="5"/>
  <c r="BB16" i="5"/>
  <c r="AZ16" i="5"/>
  <c r="AW16" i="5"/>
  <c r="BI16" i="5" s="1"/>
  <c r="AV16" i="5"/>
  <c r="AU16" i="5"/>
  <c r="BG16" i="5" s="1"/>
  <c r="AT16" i="5"/>
  <c r="BA16" i="5" s="1"/>
  <c r="AS16" i="5"/>
  <c r="BF16" i="5" s="1"/>
  <c r="AR16" i="5"/>
  <c r="AP16" i="5"/>
  <c r="BD16" i="5" s="1"/>
  <c r="AW15" i="5"/>
  <c r="BI15" i="5" s="1"/>
  <c r="AV15" i="5"/>
  <c r="BB15" i="5" s="1"/>
  <c r="AU15" i="5"/>
  <c r="BG15" i="5" s="1"/>
  <c r="AT15" i="5"/>
  <c r="BA15" i="5" s="1"/>
  <c r="AS15" i="5"/>
  <c r="BF15" i="5" s="1"/>
  <c r="AR15" i="5"/>
  <c r="AZ15" i="5" s="1"/>
  <c r="AP15" i="5"/>
  <c r="BD15" i="5" s="1"/>
  <c r="BI14" i="5"/>
  <c r="AW14" i="5"/>
  <c r="AV14" i="5"/>
  <c r="BB14" i="5" s="1"/>
  <c r="AU14" i="5"/>
  <c r="BG14" i="5" s="1"/>
  <c r="AT14" i="5"/>
  <c r="BA14" i="5" s="1"/>
  <c r="AS14" i="5"/>
  <c r="BF14" i="5" s="1"/>
  <c r="AR14" i="5"/>
  <c r="AZ14" i="5" s="1"/>
  <c r="AP14" i="5"/>
  <c r="BD14" i="5" s="1"/>
  <c r="BB13" i="5"/>
  <c r="AW13" i="5"/>
  <c r="BI13" i="5" s="1"/>
  <c r="AV13" i="5"/>
  <c r="AU13" i="5"/>
  <c r="BG13" i="5" s="1"/>
  <c r="BH13" i="5" s="1"/>
  <c r="AT13" i="5"/>
  <c r="BA13" i="5" s="1"/>
  <c r="AS13" i="5"/>
  <c r="BF13" i="5" s="1"/>
  <c r="AR13" i="5"/>
  <c r="AZ13" i="5" s="1"/>
  <c r="AP13" i="5"/>
  <c r="BD13" i="5" s="1"/>
  <c r="BP12" i="5"/>
  <c r="BP23" i="5" s="1"/>
  <c r="BM12" i="5"/>
  <c r="BM23" i="5" s="1"/>
  <c r="AW12" i="5"/>
  <c r="BI12" i="5" s="1"/>
  <c r="AU12" i="5"/>
  <c r="BG12" i="5" s="1"/>
  <c r="AS12" i="5"/>
  <c r="BF12" i="5" s="1"/>
  <c r="AP12" i="5"/>
  <c r="BD12" i="5" s="1"/>
  <c r="BP11" i="5"/>
  <c r="BP22" i="5" s="1"/>
  <c r="BK11" i="5"/>
  <c r="BK22" i="5" s="1"/>
  <c r="BB11" i="5"/>
  <c r="AW11" i="5"/>
  <c r="BI11" i="5" s="1"/>
  <c r="AV11" i="5"/>
  <c r="AU11" i="5"/>
  <c r="BG11" i="5" s="1"/>
  <c r="BH11" i="5" s="1"/>
  <c r="AT11" i="5"/>
  <c r="BA11" i="5" s="1"/>
  <c r="AS11" i="5"/>
  <c r="BF11" i="5" s="1"/>
  <c r="AR11" i="5"/>
  <c r="AZ11" i="5" s="1"/>
  <c r="AP11" i="5"/>
  <c r="BD11" i="5" s="1"/>
  <c r="BP10" i="5"/>
  <c r="BP21" i="5" s="1"/>
  <c r="BN10" i="5"/>
  <c r="BM10" i="5"/>
  <c r="BB10" i="5"/>
  <c r="AW10" i="5"/>
  <c r="BI10" i="5" s="1"/>
  <c r="AV10" i="5"/>
  <c r="AU10" i="5"/>
  <c r="BG10" i="5" s="1"/>
  <c r="BH10" i="5" s="1"/>
  <c r="AT10" i="5"/>
  <c r="BA10" i="5" s="1"/>
  <c r="AS10" i="5"/>
  <c r="BF10" i="5" s="1"/>
  <c r="AR10" i="5"/>
  <c r="AZ10" i="5" s="1"/>
  <c r="AP10" i="5"/>
  <c r="BD10" i="5" s="1"/>
  <c r="AW9" i="5"/>
  <c r="BI9" i="5" s="1"/>
  <c r="AU9" i="5"/>
  <c r="BG9" i="5" s="1"/>
  <c r="BH9" i="5" s="1"/>
  <c r="AS9" i="5"/>
  <c r="BF9" i="5" s="1"/>
  <c r="AR9" i="5"/>
  <c r="AZ9" i="5" s="1"/>
  <c r="AP9" i="5"/>
  <c r="BD9" i="5" s="1"/>
  <c r="BB8" i="5"/>
  <c r="AW8" i="5"/>
  <c r="BI8" i="5" s="1"/>
  <c r="AV8" i="5"/>
  <c r="AU8" i="5"/>
  <c r="BG8" i="5" s="1"/>
  <c r="BH8" i="5" s="1"/>
  <c r="AT8" i="5"/>
  <c r="BA8" i="5" s="1"/>
  <c r="AS8" i="5"/>
  <c r="BF8" i="5" s="1"/>
  <c r="AR8" i="5"/>
  <c r="AZ8" i="5" s="1"/>
  <c r="AP8" i="5"/>
  <c r="BD8" i="5" s="1"/>
  <c r="AW7" i="5"/>
  <c r="BI7" i="5" s="1"/>
  <c r="AU7" i="5"/>
  <c r="BG7" i="5" s="1"/>
  <c r="AS7" i="5"/>
  <c r="BF7" i="5" s="1"/>
  <c r="AP7" i="5"/>
  <c r="BD7" i="5" s="1"/>
  <c r="BP6" i="5"/>
  <c r="BP17" i="5" s="1"/>
  <c r="BN6" i="5"/>
  <c r="BK6" i="5"/>
  <c r="BK17" i="5" s="1"/>
  <c r="BG6" i="5"/>
  <c r="BN7" i="5" s="1"/>
  <c r="AW6" i="5"/>
  <c r="BI6" i="5" s="1"/>
  <c r="BP7" i="5" s="1"/>
  <c r="BP18" i="5" s="1"/>
  <c r="AU6" i="5"/>
  <c r="AS6" i="5"/>
  <c r="BF6" i="5" s="1"/>
  <c r="BM7" i="5" s="1"/>
  <c r="AP6" i="5"/>
  <c r="BD6" i="5" s="1"/>
  <c r="BK7" i="5" s="1"/>
  <c r="BK18" i="5" s="1"/>
  <c r="BP5" i="5"/>
  <c r="BP16" i="5" s="1"/>
  <c r="BO5" i="5"/>
  <c r="BO16" i="5" s="1"/>
  <c r="BN5" i="5"/>
  <c r="BM5" i="5"/>
  <c r="BM16" i="5" s="1"/>
  <c r="BL5" i="5"/>
  <c r="BL16" i="5" s="1"/>
  <c r="AZ5" i="5"/>
  <c r="AW5" i="5"/>
  <c r="AV5" i="5"/>
  <c r="BB5" i="5" s="1"/>
  <c r="AU5" i="5"/>
  <c r="AT5" i="5"/>
  <c r="BA5" i="5" s="1"/>
  <c r="AP5" i="5"/>
  <c r="AY5" i="5" s="1"/>
  <c r="BB4" i="5"/>
  <c r="BN27" i="5" s="1"/>
  <c r="AV4" i="5"/>
  <c r="AT4" i="5"/>
  <c r="BA45" i="5" s="1"/>
  <c r="BM74" i="5" s="1"/>
  <c r="AR4" i="5"/>
  <c r="AZ45" i="5" s="1"/>
  <c r="BL74" i="5" s="1"/>
  <c r="AP4" i="5"/>
  <c r="AY4" i="5" s="1"/>
  <c r="BK26" i="5" s="1"/>
  <c r="BY110" i="2"/>
  <c r="BR110" i="2"/>
  <c r="BY109" i="2"/>
  <c r="BR109" i="2"/>
  <c r="BY108" i="2"/>
  <c r="BR108" i="2"/>
  <c r="BY107" i="2"/>
  <c r="BR107" i="2"/>
  <c r="BY106" i="2"/>
  <c r="BR106" i="2"/>
  <c r="BY105" i="2"/>
  <c r="BR105" i="2"/>
  <c r="BR104" i="2"/>
  <c r="BY104" i="2" s="1"/>
  <c r="BY103" i="2"/>
  <c r="BR103" i="2"/>
  <c r="BY102" i="2"/>
  <c r="BR102" i="2"/>
  <c r="BY101" i="2"/>
  <c r="BR101" i="2"/>
  <c r="BY100" i="2"/>
  <c r="BR100" i="2"/>
  <c r="BW99" i="2"/>
  <c r="BV99" i="2"/>
  <c r="BU99" i="2"/>
  <c r="BT99" i="2"/>
  <c r="BS99" i="2"/>
  <c r="BY95" i="2"/>
  <c r="BR95" i="2"/>
  <c r="BY94" i="2"/>
  <c r="BR94" i="2"/>
  <c r="BY93" i="2"/>
  <c r="BR93" i="2"/>
  <c r="BZ92" i="2"/>
  <c r="BY92" i="2"/>
  <c r="BW92" i="2"/>
  <c r="BU92" i="2"/>
  <c r="BS92" i="2"/>
  <c r="BR92" i="2"/>
  <c r="BY91" i="2"/>
  <c r="BR91" i="2"/>
  <c r="BY90" i="2"/>
  <c r="BR90" i="2"/>
  <c r="BY89" i="2"/>
  <c r="BR89" i="2"/>
  <c r="BD67" i="2"/>
  <c r="BD66" i="2"/>
  <c r="BD65" i="2"/>
  <c r="BK65" i="2" s="1"/>
  <c r="BD64" i="2"/>
  <c r="BK64" i="2" s="1"/>
  <c r="BX63" i="2"/>
  <c r="CF63" i="2" s="1"/>
  <c r="BD63" i="2"/>
  <c r="BK63" i="2" s="1"/>
  <c r="BD62" i="2"/>
  <c r="BK62" i="2" s="1"/>
  <c r="BD61" i="2"/>
  <c r="BK61" i="2" s="1"/>
  <c r="BD60" i="2"/>
  <c r="BK60" i="2" s="1"/>
  <c r="BD59" i="2"/>
  <c r="BK59" i="2" s="1"/>
  <c r="BD58" i="2"/>
  <c r="BK58" i="2" s="1"/>
  <c r="BD57" i="2"/>
  <c r="BK57" i="2" s="1"/>
  <c r="BD56" i="2"/>
  <c r="BK56" i="2" s="1"/>
  <c r="BD55" i="2"/>
  <c r="BK55" i="2" s="1"/>
  <c r="CF54" i="2"/>
  <c r="CF72" i="2" s="1"/>
  <c r="BW54" i="2"/>
  <c r="CE54" i="2" s="1"/>
  <c r="CE72" i="2" s="1"/>
  <c r="BV54" i="2"/>
  <c r="CD54" i="2" s="1"/>
  <c r="CD72" i="2" s="1"/>
  <c r="BU54" i="2"/>
  <c r="CC54" i="2" s="1"/>
  <c r="CC72" i="2" s="1"/>
  <c r="BT54" i="2"/>
  <c r="CB54" i="2" s="1"/>
  <c r="CB72" i="2" s="1"/>
  <c r="BS54" i="2"/>
  <c r="CA54" i="2" s="1"/>
  <c r="CA72" i="2" s="1"/>
  <c r="BD54" i="2"/>
  <c r="BK54" i="2" s="1"/>
  <c r="BD53" i="2"/>
  <c r="BK53" i="2" s="1"/>
  <c r="BD52" i="2"/>
  <c r="BK52" i="2" s="1"/>
  <c r="BD51" i="2"/>
  <c r="BK51" i="2" s="1"/>
  <c r="BD50" i="2"/>
  <c r="BK50" i="2" s="1"/>
  <c r="BD49" i="2"/>
  <c r="BK49" i="2" s="1"/>
  <c r="BD48" i="2"/>
  <c r="BK48" i="2" s="1"/>
  <c r="BD47" i="2"/>
  <c r="BK47" i="2" s="1"/>
  <c r="BD43" i="2"/>
  <c r="BD42" i="2"/>
  <c r="BK42" i="2" s="1"/>
  <c r="BR41" i="2"/>
  <c r="BY41" i="2" s="1"/>
  <c r="BD41" i="2"/>
  <c r="BK41" i="2" s="1"/>
  <c r="BR40" i="2"/>
  <c r="BY40" i="2" s="1"/>
  <c r="BK40" i="2"/>
  <c r="BD40" i="2"/>
  <c r="BR39" i="2"/>
  <c r="BY39" i="2" s="1"/>
  <c r="BK39" i="2"/>
  <c r="BD39" i="2"/>
  <c r="BR38" i="2"/>
  <c r="BY38" i="2" s="1"/>
  <c r="BK38" i="2"/>
  <c r="BD38" i="2"/>
  <c r="BY37" i="2"/>
  <c r="BR37" i="2"/>
  <c r="BD37" i="2"/>
  <c r="BK37" i="2" s="1"/>
  <c r="BY36" i="2"/>
  <c r="BR36" i="2"/>
  <c r="BK36" i="2"/>
  <c r="BD36" i="2"/>
  <c r="BY35" i="2"/>
  <c r="BD35" i="2"/>
  <c r="BK35" i="2" s="1"/>
  <c r="BR34" i="2"/>
  <c r="BY34" i="2" s="1"/>
  <c r="BL34" i="2"/>
  <c r="BI34" i="2"/>
  <c r="BH34" i="2"/>
  <c r="BG34" i="2"/>
  <c r="BE34" i="2"/>
  <c r="BD34" i="2"/>
  <c r="BK34" i="2" s="1"/>
  <c r="BR33" i="2"/>
  <c r="BY33" i="2" s="1"/>
  <c r="BL33" i="2"/>
  <c r="BI33" i="2"/>
  <c r="BG33" i="2"/>
  <c r="BH33" i="2" s="1"/>
  <c r="BE33" i="2"/>
  <c r="BD33" i="2"/>
  <c r="BK33" i="2" s="1"/>
  <c r="BY32" i="2"/>
  <c r="BR32" i="2"/>
  <c r="BL32" i="2"/>
  <c r="BK32" i="2"/>
  <c r="BI32" i="2"/>
  <c r="BH32" i="2"/>
  <c r="BG32" i="2"/>
  <c r="BE32" i="2"/>
  <c r="BD32" i="2"/>
  <c r="BR31" i="2"/>
  <c r="BY31" i="2" s="1"/>
  <c r="BL31" i="2"/>
  <c r="BI31" i="2"/>
  <c r="BG31" i="2"/>
  <c r="BH31" i="2" s="1"/>
  <c r="BE31" i="2"/>
  <c r="BD31" i="2"/>
  <c r="BK31" i="2" s="1"/>
  <c r="CD30" i="2"/>
  <c r="CC30" i="2"/>
  <c r="CB30" i="2"/>
  <c r="CA30" i="2"/>
  <c r="BZ30" i="2"/>
  <c r="BW30" i="2"/>
  <c r="BV30" i="2"/>
  <c r="BU30" i="2"/>
  <c r="BT30" i="2"/>
  <c r="BS30" i="2"/>
  <c r="BL30" i="2"/>
  <c r="BK30" i="2"/>
  <c r="BI30" i="2"/>
  <c r="BH30" i="2" s="1"/>
  <c r="BG30" i="2"/>
  <c r="BE30" i="2"/>
  <c r="BD30" i="2"/>
  <c r="BK29" i="2"/>
  <c r="BD29" i="2"/>
  <c r="BK28" i="2"/>
  <c r="BD28" i="2"/>
  <c r="BY27" i="2"/>
  <c r="BR27" i="2"/>
  <c r="BD27" i="2"/>
  <c r="BK27" i="2" s="1"/>
  <c r="BR26" i="2"/>
  <c r="BY26" i="2" s="1"/>
  <c r="BD26" i="2"/>
  <c r="BK26" i="2" s="1"/>
  <c r="BR25" i="2"/>
  <c r="BY25" i="2" s="1"/>
  <c r="BD25" i="2"/>
  <c r="BK25" i="2" s="1"/>
  <c r="BY24" i="2"/>
  <c r="BW24" i="2"/>
  <c r="CD24" i="2" s="1"/>
  <c r="BU24" i="2"/>
  <c r="BT24" i="2"/>
  <c r="CA24" i="2" s="1"/>
  <c r="BS24" i="2"/>
  <c r="BZ24" i="2" s="1"/>
  <c r="BR24" i="2"/>
  <c r="BD24" i="2"/>
  <c r="BK24" i="2" s="1"/>
  <c r="BR23" i="2"/>
  <c r="BY23" i="2" s="1"/>
  <c r="BD23" i="2"/>
  <c r="BK23" i="2" s="1"/>
  <c r="BR22" i="2"/>
  <c r="BY22" i="2" s="1"/>
  <c r="BD22" i="2"/>
  <c r="BK22" i="2" s="1"/>
  <c r="BY21" i="2"/>
  <c r="BR21" i="2"/>
  <c r="BD21" i="2"/>
  <c r="BK21" i="2" s="1"/>
  <c r="BD20" i="2"/>
  <c r="BK20" i="2" s="1"/>
  <c r="BK19" i="2"/>
  <c r="BD19" i="2"/>
  <c r="BK18" i="2"/>
  <c r="BD18" i="2"/>
  <c r="BD17" i="2"/>
  <c r="BK17" i="2" s="1"/>
  <c r="BD16" i="2"/>
  <c r="BK16" i="2" s="1"/>
  <c r="BK15" i="2"/>
  <c r="BD15" i="2"/>
  <c r="BK14" i="2"/>
  <c r="BD14" i="2"/>
  <c r="BD13" i="2"/>
  <c r="BK13" i="2" s="1"/>
  <c r="BU12" i="2"/>
  <c r="BT12" i="2"/>
  <c r="BS12" i="2"/>
  <c r="BD12" i="2"/>
  <c r="BK12" i="2" s="1"/>
  <c r="BU11" i="2"/>
  <c r="BT11" i="2"/>
  <c r="BS11" i="2"/>
  <c r="BK11" i="2"/>
  <c r="BD11" i="2"/>
  <c r="BU10" i="2"/>
  <c r="BT10" i="2"/>
  <c r="BS10" i="2"/>
  <c r="BK10" i="2"/>
  <c r="BD10" i="2"/>
  <c r="BV9" i="2"/>
  <c r="BU9" i="2"/>
  <c r="BT9" i="2"/>
  <c r="BS9" i="2"/>
  <c r="BD9" i="2"/>
  <c r="BK9" i="2" s="1"/>
  <c r="BU8" i="2"/>
  <c r="BT8" i="2"/>
  <c r="BS8" i="2"/>
  <c r="BD8" i="2"/>
  <c r="BK8" i="2" s="1"/>
  <c r="BU7" i="2"/>
  <c r="BT7" i="2"/>
  <c r="BS7" i="2"/>
  <c r="BK7" i="2"/>
  <c r="BD7" i="2"/>
  <c r="BU6" i="2"/>
  <c r="BT6" i="2"/>
  <c r="BS6" i="2"/>
  <c r="BK6" i="2"/>
  <c r="BD6" i="2"/>
  <c r="BH7" i="5" l="1"/>
  <c r="BM20" i="5"/>
  <c r="BD33" i="5"/>
  <c r="BD39" i="5"/>
  <c r="BH52" i="5"/>
  <c r="BH20" i="5"/>
  <c r="BM17" i="5"/>
  <c r="BH34" i="5"/>
  <c r="BN12" i="5"/>
  <c r="BN21" i="5" s="1"/>
  <c r="BH43" i="5"/>
  <c r="BO12" i="5" s="1"/>
  <c r="BO23" i="5" s="1"/>
  <c r="BH51" i="5"/>
  <c r="BO49" i="5" s="1"/>
  <c r="BN49" i="5"/>
  <c r="BM21" i="5"/>
  <c r="BH14" i="5"/>
  <c r="BH21" i="5"/>
  <c r="BH22" i="5"/>
  <c r="BH27" i="5"/>
  <c r="BD37" i="5"/>
  <c r="BM22" i="5"/>
  <c r="BM66" i="5"/>
  <c r="BD56" i="5"/>
  <c r="BH57" i="5"/>
  <c r="BH66" i="5"/>
  <c r="BH60" i="5"/>
  <c r="BM18" i="5"/>
  <c r="BH16" i="5"/>
  <c r="BH19" i="5"/>
  <c r="BD24" i="5"/>
  <c r="BH29" i="5"/>
  <c r="BH39" i="5"/>
  <c r="BH41" i="5"/>
  <c r="BH50" i="5"/>
  <c r="BH17" i="5"/>
  <c r="BH24" i="5"/>
  <c r="BD29" i="5"/>
  <c r="BH36" i="5"/>
  <c r="BH53" i="5"/>
  <c r="BH12" i="5"/>
  <c r="BH18" i="5"/>
  <c r="BO8" i="5" s="1"/>
  <c r="BO19" i="5" s="1"/>
  <c r="BN8" i="5"/>
  <c r="BH23" i="5"/>
  <c r="BO9" i="5" s="1"/>
  <c r="BO20" i="5" s="1"/>
  <c r="BN9" i="5"/>
  <c r="BH15" i="5"/>
  <c r="AZ4" i="5"/>
  <c r="BL27" i="5" s="1"/>
  <c r="AY31" i="5"/>
  <c r="BA4" i="5"/>
  <c r="BM27" i="5" s="1"/>
  <c r="AY6" i="5"/>
  <c r="BK28" i="5" s="1"/>
  <c r="BH6" i="5"/>
  <c r="BO7" i="5" s="1"/>
  <c r="BO18" i="5" s="1"/>
  <c r="AY7" i="5"/>
  <c r="AY8" i="5"/>
  <c r="AY9" i="5"/>
  <c r="AY10" i="5"/>
  <c r="AY11" i="5"/>
  <c r="AY12" i="5"/>
  <c r="AY13" i="5"/>
  <c r="AY15" i="5"/>
  <c r="BD25" i="5"/>
  <c r="BH28" i="5"/>
  <c r="BH42" i="5"/>
  <c r="AY55" i="5"/>
  <c r="BK77" i="5" s="1"/>
  <c r="BN11" i="5"/>
  <c r="BN22" i="5" s="1"/>
  <c r="BH26" i="5"/>
  <c r="BH30" i="5"/>
  <c r="BO6" i="5" s="1"/>
  <c r="BO17" i="5" s="1"/>
  <c r="AY35" i="5"/>
  <c r="BK32" i="5" s="1"/>
  <c r="BH38" i="5"/>
  <c r="AY43" i="5"/>
  <c r="BK34" i="5" s="1"/>
  <c r="AY54" i="5"/>
  <c r="BH61" i="5"/>
  <c r="BO51" i="5" s="1"/>
  <c r="BN51" i="5"/>
  <c r="BN48" i="5"/>
  <c r="BH47" i="5"/>
  <c r="BO48" i="5" s="1"/>
  <c r="BH65" i="5"/>
  <c r="BO55" i="5" s="1"/>
  <c r="BN55" i="5"/>
  <c r="AY14" i="5"/>
  <c r="AY16" i="5"/>
  <c r="AY17" i="5"/>
  <c r="AY18" i="5"/>
  <c r="BK29" i="5" s="1"/>
  <c r="AY19" i="5"/>
  <c r="AY20" i="5"/>
  <c r="AY21" i="5"/>
  <c r="AY22" i="5"/>
  <c r="AY23" i="5"/>
  <c r="BK30" i="5" s="1"/>
  <c r="AY27" i="5"/>
  <c r="BP61" i="5"/>
  <c r="AY50" i="5"/>
  <c r="BD51" i="5"/>
  <c r="BK49" i="5" s="1"/>
  <c r="BK63" i="5" s="1"/>
  <c r="AY52" i="5"/>
  <c r="BD53" i="5"/>
  <c r="BM67" i="5"/>
  <c r="AY57" i="5"/>
  <c r="AY59" i="5"/>
  <c r="BH62" i="5"/>
  <c r="BO52" i="5" s="1"/>
  <c r="BN52" i="5"/>
  <c r="AY26" i="5"/>
  <c r="AY28" i="5"/>
  <c r="AY30" i="5"/>
  <c r="BK31" i="5" s="1"/>
  <c r="AY32" i="5"/>
  <c r="AY34" i="5"/>
  <c r="AY36" i="5"/>
  <c r="AY38" i="5"/>
  <c r="AY40" i="5"/>
  <c r="BK33" i="5" s="1"/>
  <c r="AY42" i="5"/>
  <c r="AY47" i="5"/>
  <c r="BK75" i="5" s="1"/>
  <c r="BM61" i="5"/>
  <c r="AY48" i="5"/>
  <c r="AY49" i="5"/>
  <c r="BM63" i="5"/>
  <c r="BP64" i="5"/>
  <c r="BP63" i="5"/>
  <c r="BP66" i="5"/>
  <c r="BP69" i="5"/>
  <c r="BH63" i="5"/>
  <c r="BO53" i="5" s="1"/>
  <c r="BN53" i="5"/>
  <c r="BH67" i="5"/>
  <c r="BO56" i="5" s="1"/>
  <c r="BO70" i="5" s="1"/>
  <c r="BN56" i="5"/>
  <c r="BN70" i="5" s="1"/>
  <c r="BP67" i="5"/>
  <c r="BP68" i="5"/>
  <c r="BH58" i="5"/>
  <c r="BO50" i="5" s="1"/>
  <c r="BN50" i="5"/>
  <c r="BH64" i="5"/>
  <c r="BO54" i="5" s="1"/>
  <c r="BO68" i="5" s="1"/>
  <c r="BN54" i="5"/>
  <c r="BN68" i="5" s="1"/>
  <c r="AY58" i="5"/>
  <c r="BK78" i="5" s="1"/>
  <c r="AY60" i="5"/>
  <c r="AY61" i="5"/>
  <c r="BK79" i="5" s="1"/>
  <c r="AY62" i="5"/>
  <c r="BK80" i="5" s="1"/>
  <c r="AY63" i="5"/>
  <c r="BK81" i="5" s="1"/>
  <c r="AY64" i="5"/>
  <c r="BK82" i="5" s="1"/>
  <c r="AY65" i="5"/>
  <c r="BK83" i="5" s="1"/>
  <c r="AY66" i="5"/>
  <c r="AY67" i="5"/>
  <c r="BK84" i="5" s="1"/>
  <c r="CB24" i="2"/>
  <c r="BV24" i="2"/>
  <c r="CC24" i="2" s="1"/>
  <c r="BN18" i="5" l="1"/>
  <c r="BN19" i="5"/>
  <c r="BN17" i="5"/>
  <c r="BN23" i="5"/>
  <c r="BO62" i="5"/>
  <c r="BO22" i="5"/>
  <c r="BN20" i="5"/>
  <c r="BO21" i="5"/>
  <c r="BN62" i="5"/>
  <c r="BO61" i="5"/>
  <c r="BO63" i="5"/>
  <c r="BN64" i="5"/>
  <c r="BN63" i="5"/>
  <c r="BN67" i="5"/>
  <c r="BN66" i="5"/>
  <c r="BN69" i="5"/>
  <c r="BN65" i="5"/>
  <c r="BO64" i="5"/>
  <c r="BN61" i="5"/>
  <c r="BO67" i="5"/>
  <c r="BO66" i="5"/>
  <c r="BO69" i="5"/>
  <c r="BO65" i="5"/>
  <c r="AI34" i="21" l="1"/>
  <c r="X32" i="21" l="1"/>
  <c r="W32" i="21"/>
  <c r="V32" i="21"/>
  <c r="U32" i="21"/>
  <c r="T32" i="21"/>
  <c r="X22" i="21"/>
  <c r="W22" i="21"/>
  <c r="V22" i="21"/>
  <c r="U22" i="21"/>
  <c r="T22" i="21"/>
  <c r="Y345" i="2" l="1"/>
  <c r="Q8" i="2" l="1"/>
  <c r="Q7" i="2"/>
  <c r="AB11" i="2" l="1"/>
  <c r="L24" i="21" l="1"/>
  <c r="L23" i="21"/>
  <c r="K23" i="21"/>
  <c r="L22" i="21"/>
  <c r="K22" i="21"/>
  <c r="AK480" i="2" l="1"/>
  <c r="AK479" i="2"/>
  <c r="AK424" i="2"/>
  <c r="AK340" i="2"/>
  <c r="AK339" i="2"/>
  <c r="AK285" i="2"/>
  <c r="AK284" i="2"/>
  <c r="AK200" i="2"/>
  <c r="AK199" i="2"/>
  <c r="AK145" i="2"/>
  <c r="AK144" i="2"/>
  <c r="AK59" i="2"/>
  <c r="BW63" i="2" s="1"/>
  <c r="CE63" i="2" s="1"/>
  <c r="V147" i="2" l="1"/>
  <c r="V149" i="2"/>
  <c r="V150" i="2"/>
  <c r="V151" i="2"/>
  <c r="K41" i="5" l="1"/>
  <c r="AV41" i="5" s="1"/>
  <c r="BB41" i="5" s="1"/>
  <c r="K39" i="5"/>
  <c r="AV39" i="5" s="1"/>
  <c r="BB39" i="5" s="1"/>
  <c r="K38" i="5"/>
  <c r="AV38" i="5" s="1"/>
  <c r="BB38" i="5" s="1"/>
  <c r="K36" i="5"/>
  <c r="AV36" i="5" s="1"/>
  <c r="BB36" i="5" s="1"/>
  <c r="K34" i="5"/>
  <c r="AV34" i="5" s="1"/>
  <c r="BB34" i="5" s="1"/>
  <c r="K33" i="5"/>
  <c r="AV33" i="5" s="1"/>
  <c r="BB33" i="5" s="1"/>
  <c r="K32" i="5"/>
  <c r="AV32" i="5" s="1"/>
  <c r="BB32" i="5" s="1"/>
  <c r="K31" i="5"/>
  <c r="AV31" i="5" s="1"/>
  <c r="BB31" i="5" s="1"/>
  <c r="K29" i="5"/>
  <c r="AV29" i="5" s="1"/>
  <c r="BB29" i="5" s="1"/>
  <c r="K28" i="5"/>
  <c r="AV28" i="5" s="1"/>
  <c r="BB28" i="5" s="1"/>
  <c r="K27" i="5"/>
  <c r="AV27" i="5" s="1"/>
  <c r="BB27" i="5" s="1"/>
  <c r="K26" i="5"/>
  <c r="AV26" i="5" s="1"/>
  <c r="BB26" i="5" s="1"/>
  <c r="K25" i="5"/>
  <c r="AV25" i="5" s="1"/>
  <c r="BB25" i="5" s="1"/>
  <c r="K22" i="5"/>
  <c r="AV22" i="5" s="1"/>
  <c r="BB22" i="5" s="1"/>
  <c r="K21" i="5"/>
  <c r="AV21" i="5" s="1"/>
  <c r="BB21" i="5" s="1"/>
  <c r="K20" i="5"/>
  <c r="AV20" i="5" s="1"/>
  <c r="BB20" i="5" s="1"/>
  <c r="K9" i="5"/>
  <c r="AV9" i="5" s="1"/>
  <c r="BB9" i="5" s="1"/>
  <c r="G9" i="5"/>
  <c r="AT9" i="5" s="1"/>
  <c r="BA9" i="5" s="1"/>
  <c r="Q229" i="2" l="1"/>
  <c r="Q228" i="2"/>
  <c r="Q150" i="2"/>
  <c r="Q147" i="2" s="1"/>
  <c r="Q149" i="2"/>
  <c r="Q148" i="2" l="1"/>
  <c r="AC279" i="2"/>
  <c r="AC419" i="2" s="1"/>
  <c r="AC559" i="2" s="1"/>
  <c r="AC278" i="2"/>
  <c r="AC418" i="2" s="1"/>
  <c r="AC558" i="2" s="1"/>
  <c r="AC277" i="2"/>
  <c r="AC417" i="2" s="1"/>
  <c r="AC557" i="2" s="1"/>
  <c r="V397" i="2"/>
  <c r="V537" i="2" s="1"/>
  <c r="V350" i="2"/>
  <c r="V490" i="2" s="1"/>
  <c r="V311" i="2"/>
  <c r="V451" i="2" s="1"/>
  <c r="V290" i="2"/>
  <c r="V430" i="2" s="1"/>
  <c r="V287" i="2"/>
  <c r="V427" i="2" s="1"/>
  <c r="V271" i="2"/>
  <c r="V411" i="2" s="1"/>
  <c r="V551" i="2" s="1"/>
  <c r="V266" i="2"/>
  <c r="V406" i="2" s="1"/>
  <c r="V546" i="2" s="1"/>
  <c r="V261" i="2"/>
  <c r="V401" i="2" s="1"/>
  <c r="V541" i="2" s="1"/>
  <c r="V257" i="2"/>
  <c r="V229" i="2"/>
  <c r="V228" i="2"/>
  <c r="V226" i="2"/>
  <c r="V366" i="2" s="1"/>
  <c r="V506" i="2" s="1"/>
  <c r="V222" i="2"/>
  <c r="V362" i="2" s="1"/>
  <c r="V502" i="2" s="1"/>
  <c r="V211" i="2"/>
  <c r="V351" i="2" s="1"/>
  <c r="V491" i="2" s="1"/>
  <c r="V210" i="2"/>
  <c r="V207" i="2"/>
  <c r="V194" i="2"/>
  <c r="V334" i="2" s="1"/>
  <c r="V474" i="2" s="1"/>
  <c r="V188" i="2"/>
  <c r="V328" i="2" s="1"/>
  <c r="V468" i="2" s="1"/>
  <c r="V178" i="2"/>
  <c r="V318" i="2" s="1"/>
  <c r="V458" i="2" s="1"/>
  <c r="V175" i="2"/>
  <c r="V315" i="2" s="1"/>
  <c r="V455" i="2" s="1"/>
  <c r="V172" i="2"/>
  <c r="V312" i="2" s="1"/>
  <c r="V452" i="2" s="1"/>
  <c r="V171" i="2"/>
  <c r="V230" i="2" l="1"/>
  <c r="V370" i="2" s="1"/>
  <c r="V510" i="2" s="1"/>
  <c r="V177" i="2"/>
  <c r="V317" i="2" l="1"/>
  <c r="V457" i="2" s="1"/>
  <c r="AB276" i="2"/>
  <c r="AB416" i="2" s="1"/>
  <c r="AB556" i="2" s="1"/>
  <c r="AB275" i="2"/>
  <c r="AB415" i="2" s="1"/>
  <c r="AB555" i="2" s="1"/>
  <c r="AB274" i="2"/>
  <c r="AB414" i="2" s="1"/>
  <c r="AB554" i="2" s="1"/>
  <c r="V264" i="2"/>
  <c r="V404" i="2" s="1"/>
  <c r="V544" i="2" s="1"/>
  <c r="V269" i="2"/>
  <c r="V409" i="2" s="1"/>
  <c r="V549" i="2" s="1"/>
  <c r="V260" i="2"/>
  <c r="V400" i="2" s="1"/>
  <c r="V540" i="2" s="1"/>
  <c r="V256" i="2"/>
  <c r="V396" i="2" s="1"/>
  <c r="V536" i="2" s="1"/>
  <c r="V234" i="2"/>
  <c r="V374" i="2" s="1"/>
  <c r="V514" i="2" s="1"/>
  <c r="V233" i="2"/>
  <c r="V373" i="2" s="1"/>
  <c r="V513" i="2" s="1"/>
  <c r="V221" i="2"/>
  <c r="V361" i="2" s="1"/>
  <c r="V501" i="2" s="1"/>
  <c r="V217" i="2"/>
  <c r="V357" i="2" s="1"/>
  <c r="V497" i="2" s="1"/>
  <c r="V209" i="2"/>
  <c r="V349" i="2" s="1"/>
  <c r="V489" i="2" s="1"/>
  <c r="V206" i="2"/>
  <c r="V346" i="2" s="1"/>
  <c r="V486" i="2" s="1"/>
  <c r="V205" i="2"/>
  <c r="V345" i="2" s="1"/>
  <c r="V485" i="2" s="1"/>
  <c r="V192" i="2"/>
  <c r="V332" i="2" s="1"/>
  <c r="V472" i="2" s="1"/>
  <c r="V187" i="2"/>
  <c r="V327" i="2" s="1"/>
  <c r="V467" i="2" s="1"/>
  <c r="V174" i="2"/>
  <c r="V314" i="2" s="1"/>
  <c r="V454" i="2" s="1"/>
  <c r="V173" i="2"/>
  <c r="V313" i="2" s="1"/>
  <c r="V453" i="2" s="1"/>
  <c r="V289" i="2" l="1"/>
  <c r="V429" i="2" s="1"/>
  <c r="V162" i="2"/>
  <c r="V302" i="2" s="1"/>
  <c r="V442" i="2" s="1"/>
  <c r="V161" i="2"/>
  <c r="V301" i="2" s="1"/>
  <c r="V441" i="2" s="1"/>
  <c r="V160" i="2"/>
  <c r="V300" i="2" s="1"/>
  <c r="V440" i="2" s="1"/>
  <c r="V159" i="2"/>
  <c r="V299" i="2" s="1"/>
  <c r="V439" i="2" s="1"/>
  <c r="V153" i="2"/>
  <c r="V293" i="2" s="1"/>
  <c r="V433" i="2" s="1"/>
  <c r="V152" i="2"/>
  <c r="V292" i="2" s="1"/>
  <c r="V432" i="2" s="1"/>
  <c r="V291" i="2"/>
  <c r="V431" i="2" s="1"/>
  <c r="V148" i="2"/>
  <c r="V288" i="2" s="1"/>
  <c r="V428" i="2" s="1"/>
  <c r="V155" i="2"/>
  <c r="V295" i="2" s="1"/>
  <c r="V435" i="2" s="1"/>
  <c r="V154" i="2"/>
  <c r="V294" i="2" s="1"/>
  <c r="V434" i="2" s="1"/>
  <c r="AR102" i="2" l="1"/>
  <c r="AR23" i="2"/>
  <c r="V102" i="2"/>
  <c r="AJ144" i="2" l="1"/>
  <c r="Y457" i="2"/>
  <c r="X457" i="2"/>
  <c r="Y431" i="2"/>
  <c r="AB431" i="2"/>
  <c r="X431" i="2"/>
  <c r="Y349" i="2"/>
  <c r="Y317" i="2"/>
  <c r="X317" i="2"/>
  <c r="Y291" i="2"/>
  <c r="AB291" i="2"/>
  <c r="X291" i="2"/>
  <c r="X177" i="2"/>
  <c r="X151" i="2"/>
  <c r="X163" i="2" s="1"/>
  <c r="AR90" i="2"/>
  <c r="L309" i="25"/>
  <c r="M309" i="25"/>
  <c r="N309" i="25"/>
  <c r="O309" i="25"/>
  <c r="K309" i="25"/>
  <c r="L223" i="25"/>
  <c r="M223" i="25"/>
  <c r="N223" i="25"/>
  <c r="O223" i="25"/>
  <c r="K223" i="25"/>
  <c r="L208" i="25"/>
  <c r="M208" i="25"/>
  <c r="N208" i="25"/>
  <c r="O208" i="25"/>
  <c r="K208" i="25"/>
  <c r="L104" i="25"/>
  <c r="M104" i="25"/>
  <c r="N104" i="25"/>
  <c r="O104" i="25"/>
  <c r="K104" i="25"/>
  <c r="L82" i="25"/>
  <c r="M82" i="25"/>
  <c r="N82" i="25"/>
  <c r="O82" i="25"/>
  <c r="K82" i="25"/>
  <c r="Y37" i="2"/>
  <c r="X37" i="2"/>
  <c r="AR11" i="2"/>
  <c r="V23" i="2"/>
  <c r="K60" i="25" l="1"/>
  <c r="W82" i="25" s="1"/>
  <c r="AI82" i="25" s="1"/>
  <c r="AG57" i="20"/>
  <c r="AG56" i="20"/>
  <c r="AG55" i="20"/>
  <c r="AG54" i="20"/>
  <c r="AK29" i="20"/>
  <c r="AJ29" i="20"/>
  <c r="AI29" i="20"/>
  <c r="AH29" i="20"/>
  <c r="AG29" i="20"/>
  <c r="AG28" i="20"/>
  <c r="AG27" i="20"/>
  <c r="AG26" i="20"/>
  <c r="AG25" i="20"/>
  <c r="AK21" i="20"/>
  <c r="AJ21" i="20"/>
  <c r="AI21" i="20"/>
  <c r="AH21" i="20"/>
  <c r="AG21" i="20"/>
  <c r="AK15" i="20"/>
  <c r="AJ15" i="20"/>
  <c r="AI15" i="20"/>
  <c r="AH15" i="20"/>
  <c r="AG15" i="20"/>
  <c r="AK7" i="20"/>
  <c r="AJ7" i="20"/>
  <c r="AI7" i="20"/>
  <c r="AH7" i="20"/>
  <c r="AG7" i="20"/>
  <c r="AA58" i="20"/>
  <c r="AA57" i="20"/>
  <c r="AA56" i="20"/>
  <c r="AA55" i="20"/>
  <c r="AA54" i="20"/>
  <c r="AA50" i="20"/>
  <c r="AA38" i="20"/>
  <c r="AA53" i="20" s="1"/>
  <c r="AA37" i="20"/>
  <c r="AA52" i="20" s="1"/>
  <c r="AA36" i="20"/>
  <c r="AA51" i="20" s="1"/>
  <c r="AF50" i="20"/>
  <c r="AD50" i="20"/>
  <c r="AC50" i="20"/>
  <c r="AB50" i="20"/>
  <c r="AF33" i="20"/>
  <c r="AF48" i="20" s="1"/>
  <c r="AE33" i="20"/>
  <c r="AE48" i="20" s="1"/>
  <c r="AD33" i="20"/>
  <c r="AD48" i="20" s="1"/>
  <c r="AC33" i="20"/>
  <c r="AC48" i="20" s="1"/>
  <c r="AB33" i="20"/>
  <c r="AB48" i="20" s="1"/>
  <c r="AA33" i="20"/>
  <c r="W104" i="25" l="1"/>
  <c r="K126" i="25" s="1"/>
  <c r="K148" i="25" s="1"/>
  <c r="AI35" i="20"/>
  <c r="AI50" i="20"/>
  <c r="AK35" i="20"/>
  <c r="AH35" i="20"/>
  <c r="AK50" i="20"/>
  <c r="AG35" i="20"/>
  <c r="AG50" i="20"/>
  <c r="AH50" i="20"/>
  <c r="F25" i="21"/>
  <c r="G25" i="21"/>
  <c r="H25" i="21"/>
  <c r="I25" i="21"/>
  <c r="E25" i="21"/>
  <c r="AE50" i="20" l="1"/>
  <c r="AJ35" i="20"/>
  <c r="AJ50" i="20" l="1"/>
  <c r="AB294" i="25"/>
  <c r="AB290" i="25"/>
  <c r="P294" i="25"/>
  <c r="P290" i="25"/>
  <c r="P310" i="25"/>
  <c r="P306" i="25"/>
  <c r="D326" i="25"/>
  <c r="D322" i="25"/>
  <c r="D310" i="25"/>
  <c r="D306" i="25"/>
  <c r="D294" i="25"/>
  <c r="D290" i="25"/>
  <c r="AB209" i="25"/>
  <c r="AB203" i="25"/>
  <c r="P209" i="25"/>
  <c r="P203" i="25"/>
  <c r="P224" i="25"/>
  <c r="P218" i="25"/>
  <c r="D239" i="25"/>
  <c r="D233" i="25"/>
  <c r="D224" i="25"/>
  <c r="D218" i="25"/>
  <c r="D209" i="25"/>
  <c r="D203" i="25"/>
  <c r="J187" i="25" l="1"/>
  <c r="I294" i="25"/>
  <c r="H294" i="25"/>
  <c r="G294" i="25"/>
  <c r="F294" i="25"/>
  <c r="L293" i="25" s="1"/>
  <c r="E294" i="25"/>
  <c r="O297" i="25"/>
  <c r="O290" i="25"/>
  <c r="N290" i="25"/>
  <c r="N295" i="25" s="1"/>
  <c r="M290" i="25"/>
  <c r="M295" i="25" s="1"/>
  <c r="L290" i="25"/>
  <c r="L295" i="25" s="1"/>
  <c r="K290" i="25"/>
  <c r="K295" i="25" s="1"/>
  <c r="J281" i="25"/>
  <c r="J297" i="25" s="1"/>
  <c r="J313" i="25" s="1"/>
  <c r="J280" i="25"/>
  <c r="J344" i="25" s="1"/>
  <c r="J328" i="25" s="1"/>
  <c r="J279" i="25"/>
  <c r="J278" i="25"/>
  <c r="J294" i="25" s="1"/>
  <c r="J310" i="25" s="1"/>
  <c r="J276" i="25"/>
  <c r="J275" i="25"/>
  <c r="J339" i="25" s="1"/>
  <c r="J323" i="25" s="1"/>
  <c r="J274" i="25"/>
  <c r="V290" i="25" s="1"/>
  <c r="AH290" i="25" s="1"/>
  <c r="V306" i="25" s="1"/>
  <c r="J273" i="25"/>
  <c r="J289" i="25" s="1"/>
  <c r="J305" i="25" s="1"/>
  <c r="J272" i="25"/>
  <c r="J271" i="25"/>
  <c r="V287" i="25" s="1"/>
  <c r="AH287" i="25" s="1"/>
  <c r="V303" i="25" s="1"/>
  <c r="O209" i="25"/>
  <c r="N209" i="25"/>
  <c r="M209" i="25"/>
  <c r="L209" i="25"/>
  <c r="K209" i="25"/>
  <c r="K207" i="25" s="1"/>
  <c r="J209" i="25"/>
  <c r="J224" i="25" s="1"/>
  <c r="J207" i="25"/>
  <c r="J222" i="25" s="1"/>
  <c r="J206" i="25"/>
  <c r="J221" i="25" s="1"/>
  <c r="O205" i="25"/>
  <c r="O207" i="25" s="1"/>
  <c r="N205" i="25"/>
  <c r="N207" i="25" s="1"/>
  <c r="M205" i="25"/>
  <c r="M207" i="25" s="1"/>
  <c r="L205" i="25"/>
  <c r="L207" i="25" s="1"/>
  <c r="K205" i="25"/>
  <c r="J205" i="25"/>
  <c r="J220" i="25" s="1"/>
  <c r="O204" i="25"/>
  <c r="O206" i="25" s="1"/>
  <c r="N204" i="25"/>
  <c r="N206" i="25" s="1"/>
  <c r="M204" i="25"/>
  <c r="M206" i="25" s="1"/>
  <c r="L204" i="25"/>
  <c r="L206" i="25" s="1"/>
  <c r="K204" i="25"/>
  <c r="K206" i="25" s="1"/>
  <c r="J204" i="25"/>
  <c r="J219" i="25" s="1"/>
  <c r="J203" i="25"/>
  <c r="J218" i="25" s="1"/>
  <c r="I203" i="25"/>
  <c r="H203" i="25"/>
  <c r="G203" i="25"/>
  <c r="F203" i="25"/>
  <c r="E203" i="25"/>
  <c r="J202" i="25"/>
  <c r="J217" i="25" s="1"/>
  <c r="V210" i="25"/>
  <c r="AH210" i="25" s="1"/>
  <c r="V225" i="25" s="1"/>
  <c r="V209" i="25"/>
  <c r="AH209" i="25" s="1"/>
  <c r="V224" i="25" s="1"/>
  <c r="V207" i="25"/>
  <c r="AH207" i="25" s="1"/>
  <c r="V222" i="25" s="1"/>
  <c r="V206" i="25"/>
  <c r="AH206" i="25" s="1"/>
  <c r="V221" i="25" s="1"/>
  <c r="V205" i="25"/>
  <c r="AH205" i="25" s="1"/>
  <c r="V220" i="25" s="1"/>
  <c r="V204" i="25"/>
  <c r="AH204" i="25" s="1"/>
  <c r="V219" i="25" s="1"/>
  <c r="V203" i="25"/>
  <c r="AH203" i="25" s="1"/>
  <c r="V218" i="25" s="1"/>
  <c r="V202" i="25"/>
  <c r="AH202" i="25" s="1"/>
  <c r="V217" i="25" s="1"/>
  <c r="J254" i="25"/>
  <c r="J239" i="25" s="1"/>
  <c r="J252" i="25"/>
  <c r="J237" i="25" s="1"/>
  <c r="J251" i="25"/>
  <c r="J236" i="25" s="1"/>
  <c r="J250" i="25"/>
  <c r="J235" i="25" s="1"/>
  <c r="J249" i="25"/>
  <c r="J234" i="25" s="1"/>
  <c r="J248" i="25"/>
  <c r="J233" i="25" s="1"/>
  <c r="J247" i="25"/>
  <c r="J232" i="25" s="1"/>
  <c r="J132" i="25"/>
  <c r="V88" i="25" s="1"/>
  <c r="AH88" i="25" s="1"/>
  <c r="V110" i="25" s="1"/>
  <c r="O107" i="25"/>
  <c r="O108" i="25" s="1"/>
  <c r="N107" i="25"/>
  <c r="N108" i="25" s="1"/>
  <c r="M107" i="25"/>
  <c r="M108" i="25" s="1"/>
  <c r="L107" i="25"/>
  <c r="L108" i="25" s="1"/>
  <c r="O106" i="25"/>
  <c r="N106" i="25"/>
  <c r="M106" i="25"/>
  <c r="L106" i="25"/>
  <c r="K106" i="25"/>
  <c r="O105" i="25"/>
  <c r="O103" i="25" s="1"/>
  <c r="N105" i="25"/>
  <c r="N101" i="25" s="1"/>
  <c r="M105" i="25"/>
  <c r="M218" i="25" s="1"/>
  <c r="L105" i="25"/>
  <c r="L101" i="25" s="1"/>
  <c r="K105" i="25"/>
  <c r="K303" i="25" s="1"/>
  <c r="O102" i="25"/>
  <c r="O109" i="25" s="1"/>
  <c r="N102" i="25"/>
  <c r="N109" i="25" s="1"/>
  <c r="M102" i="25"/>
  <c r="M109" i="25" s="1"/>
  <c r="L102" i="25"/>
  <c r="L109" i="25" s="1"/>
  <c r="O100" i="25"/>
  <c r="N100" i="25"/>
  <c r="M100" i="25"/>
  <c r="L100" i="25"/>
  <c r="O98" i="25"/>
  <c r="N98" i="25"/>
  <c r="M98" i="25"/>
  <c r="L98" i="25"/>
  <c r="K98" i="25"/>
  <c r="I98" i="25"/>
  <c r="H98" i="25"/>
  <c r="G98" i="25"/>
  <c r="F98" i="25"/>
  <c r="E98" i="25"/>
  <c r="K97" i="25"/>
  <c r="K102" i="25" s="1"/>
  <c r="K109" i="25" s="1"/>
  <c r="I97" i="25"/>
  <c r="H97" i="25"/>
  <c r="G97" i="25"/>
  <c r="F97" i="25"/>
  <c r="E97" i="25"/>
  <c r="O84" i="25"/>
  <c r="O76" i="25" s="1"/>
  <c r="N84" i="25"/>
  <c r="N76" i="25" s="1"/>
  <c r="M84" i="25"/>
  <c r="M76" i="25" s="1"/>
  <c r="L84" i="25"/>
  <c r="L76" i="25" s="1"/>
  <c r="K84" i="25"/>
  <c r="K76" i="25" s="1"/>
  <c r="O83" i="25"/>
  <c r="N83" i="25"/>
  <c r="M83" i="25"/>
  <c r="L83" i="25"/>
  <c r="L79" i="25" s="1"/>
  <c r="K83" i="25"/>
  <c r="I76" i="25"/>
  <c r="H76" i="25"/>
  <c r="G76" i="25"/>
  <c r="F76" i="25"/>
  <c r="E76" i="25"/>
  <c r="I75" i="25"/>
  <c r="H75" i="25"/>
  <c r="G75" i="25"/>
  <c r="F75" i="25"/>
  <c r="E75" i="25"/>
  <c r="O74" i="25"/>
  <c r="N74" i="25"/>
  <c r="M74" i="25"/>
  <c r="L74" i="25"/>
  <c r="K74" i="25"/>
  <c r="E67" i="25"/>
  <c r="J65" i="25"/>
  <c r="J153" i="25" s="1"/>
  <c r="J131" i="25" s="1"/>
  <c r="J64" i="25"/>
  <c r="J152" i="25" s="1"/>
  <c r="J130" i="25" s="1"/>
  <c r="J63" i="25"/>
  <c r="J151" i="25" s="1"/>
  <c r="J129" i="25" s="1"/>
  <c r="J62" i="25"/>
  <c r="J150" i="25" s="1"/>
  <c r="J128" i="25" s="1"/>
  <c r="J61" i="25"/>
  <c r="J149" i="25" s="1"/>
  <c r="J127" i="25" s="1"/>
  <c r="J59" i="25"/>
  <c r="J147" i="25" s="1"/>
  <c r="J125" i="25" s="1"/>
  <c r="J58" i="25"/>
  <c r="J146" i="25" s="1"/>
  <c r="J124" i="25" s="1"/>
  <c r="J57" i="25"/>
  <c r="J145" i="25" s="1"/>
  <c r="J123" i="25" s="1"/>
  <c r="J56" i="25"/>
  <c r="J144" i="25" s="1"/>
  <c r="J122" i="25" s="1"/>
  <c r="J55" i="25"/>
  <c r="J143" i="25" s="1"/>
  <c r="J121" i="25" s="1"/>
  <c r="V77" i="25" s="1"/>
  <c r="AH77" i="25" s="1"/>
  <c r="V99" i="25" s="1"/>
  <c r="J54" i="25"/>
  <c r="J142" i="25" s="1"/>
  <c r="J120" i="25" s="1"/>
  <c r="V76" i="25" s="1"/>
  <c r="AH76" i="25" s="1"/>
  <c r="V98" i="25" s="1"/>
  <c r="J53" i="25"/>
  <c r="J141" i="25" s="1"/>
  <c r="J119" i="25" s="1"/>
  <c r="J75" i="25" s="1"/>
  <c r="J97" i="25" s="1"/>
  <c r="J52" i="25"/>
  <c r="J140" i="25" s="1"/>
  <c r="J118" i="25" s="1"/>
  <c r="J74" i="25" s="1"/>
  <c r="J96" i="25" s="1"/>
  <c r="J51" i="25"/>
  <c r="J139" i="25" s="1"/>
  <c r="J117" i="25" s="1"/>
  <c r="J73" i="25" s="1"/>
  <c r="J95" i="25" s="1"/>
  <c r="J50" i="25"/>
  <c r="J138" i="25" s="1"/>
  <c r="J116" i="25" s="1"/>
  <c r="V72" i="25" s="1"/>
  <c r="AH72" i="25" s="1"/>
  <c r="V94" i="25" s="1"/>
  <c r="G27" i="25"/>
  <c r="H27" i="25" s="1"/>
  <c r="F14" i="25"/>
  <c r="G14" i="25" s="1"/>
  <c r="H14" i="25" s="1"/>
  <c r="N297" i="25" l="1"/>
  <c r="N293" i="25"/>
  <c r="M294" i="25"/>
  <c r="M293" i="25"/>
  <c r="K297" i="25"/>
  <c r="K293" i="25"/>
  <c r="O294" i="25"/>
  <c r="O293" i="25"/>
  <c r="L103" i="25"/>
  <c r="M103" i="25"/>
  <c r="N103" i="25"/>
  <c r="E290" i="25"/>
  <c r="I290" i="25"/>
  <c r="K294" i="25"/>
  <c r="K292" i="25" s="1"/>
  <c r="M202" i="25"/>
  <c r="L75" i="25"/>
  <c r="L85" i="25" s="1"/>
  <c r="L86" i="25" s="1"/>
  <c r="L81" i="25"/>
  <c r="K289" i="25"/>
  <c r="O289" i="25"/>
  <c r="L202" i="25"/>
  <c r="K107" i="25"/>
  <c r="K108" i="25" s="1"/>
  <c r="N289" i="25"/>
  <c r="M101" i="25"/>
  <c r="J76" i="25"/>
  <c r="J98" i="25" s="1"/>
  <c r="M81" i="25"/>
  <c r="N202" i="25"/>
  <c r="L289" i="25"/>
  <c r="G290" i="25"/>
  <c r="N75" i="25"/>
  <c r="K217" i="25"/>
  <c r="M297" i="25"/>
  <c r="M75" i="25"/>
  <c r="M80" i="25" s="1"/>
  <c r="M87" i="25" s="1"/>
  <c r="M79" i="25"/>
  <c r="K202" i="25"/>
  <c r="O202" i="25"/>
  <c r="K100" i="25"/>
  <c r="V73" i="25"/>
  <c r="AH73" i="25" s="1"/>
  <c r="V95" i="25" s="1"/>
  <c r="J337" i="25"/>
  <c r="J321" i="25" s="1"/>
  <c r="V74" i="25"/>
  <c r="AH74" i="25" s="1"/>
  <c r="V96" i="25" s="1"/>
  <c r="J342" i="25"/>
  <c r="J326" i="25" s="1"/>
  <c r="J287" i="25"/>
  <c r="J303" i="25" s="1"/>
  <c r="J335" i="25"/>
  <c r="J319" i="25" s="1"/>
  <c r="V294" i="25"/>
  <c r="AH294" i="25" s="1"/>
  <c r="V310" i="25" s="1"/>
  <c r="J85" i="25"/>
  <c r="J107" i="25" s="1"/>
  <c r="V85" i="25"/>
  <c r="AH85" i="25" s="1"/>
  <c r="V107" i="25" s="1"/>
  <c r="J72" i="25"/>
  <c r="J94" i="25" s="1"/>
  <c r="V84" i="25"/>
  <c r="AH84" i="25" s="1"/>
  <c r="V106" i="25" s="1"/>
  <c r="J84" i="25"/>
  <c r="J106" i="25" s="1"/>
  <c r="V75" i="25"/>
  <c r="AH75" i="25" s="1"/>
  <c r="V97" i="25" s="1"/>
  <c r="J77" i="25"/>
  <c r="J99" i="25" s="1"/>
  <c r="O79" i="25"/>
  <c r="O81" i="25"/>
  <c r="J86" i="25"/>
  <c r="J108" i="25" s="1"/>
  <c r="V86" i="25"/>
  <c r="AH86" i="25" s="1"/>
  <c r="V108" i="25" s="1"/>
  <c r="J78" i="25"/>
  <c r="J100" i="25" s="1"/>
  <c r="V78" i="25"/>
  <c r="AH78" i="25" s="1"/>
  <c r="V100" i="25" s="1"/>
  <c r="V79" i="25"/>
  <c r="AH79" i="25" s="1"/>
  <c r="V101" i="25" s="1"/>
  <c r="J79" i="25"/>
  <c r="J101" i="25" s="1"/>
  <c r="J80" i="25"/>
  <c r="J102" i="25" s="1"/>
  <c r="V80" i="25"/>
  <c r="AH80" i="25" s="1"/>
  <c r="V102" i="25" s="1"/>
  <c r="V81" i="25"/>
  <c r="AH81" i="25" s="1"/>
  <c r="V103" i="25" s="1"/>
  <c r="J81" i="25"/>
  <c r="J103" i="25" s="1"/>
  <c r="J83" i="25"/>
  <c r="J105" i="25" s="1"/>
  <c r="V83" i="25"/>
  <c r="AH83" i="25" s="1"/>
  <c r="V105" i="25" s="1"/>
  <c r="J87" i="25"/>
  <c r="J109" i="25" s="1"/>
  <c r="V87" i="25"/>
  <c r="AH87" i="25" s="1"/>
  <c r="V109" i="25" s="1"/>
  <c r="K75" i="25"/>
  <c r="O75" i="25"/>
  <c r="K79" i="25"/>
  <c r="K81" i="25"/>
  <c r="M289" i="25"/>
  <c r="M292" i="25"/>
  <c r="L294" i="25"/>
  <c r="F290" i="25"/>
  <c r="L297" i="25"/>
  <c r="N79" i="25"/>
  <c r="N81" i="25"/>
  <c r="K218" i="25"/>
  <c r="K101" i="25"/>
  <c r="O101" i="25"/>
  <c r="K103" i="25"/>
  <c r="M303" i="25"/>
  <c r="M217" i="25"/>
  <c r="V296" i="25"/>
  <c r="AH296" i="25" s="1"/>
  <c r="V312" i="25" s="1"/>
  <c r="J296" i="25"/>
  <c r="J312" i="25" s="1"/>
  <c r="M306" i="25"/>
  <c r="M219" i="25"/>
  <c r="M220" i="25"/>
  <c r="K291" i="25"/>
  <c r="K296" i="25" s="1"/>
  <c r="O303" i="25"/>
  <c r="O218" i="25"/>
  <c r="J201" i="25"/>
  <c r="J216" i="25" s="1"/>
  <c r="V201" i="25"/>
  <c r="AH201" i="25" s="1"/>
  <c r="V216" i="25" s="1"/>
  <c r="J246" i="25"/>
  <c r="J231" i="25" s="1"/>
  <c r="O217" i="25"/>
  <c r="O292" i="25"/>
  <c r="L218" i="25"/>
  <c r="L217" i="25"/>
  <c r="L303" i="25"/>
  <c r="N303" i="25"/>
  <c r="N218" i="25"/>
  <c r="N217" i="25"/>
  <c r="V297" i="25"/>
  <c r="AH297" i="25" s="1"/>
  <c r="V313" i="25" s="1"/>
  <c r="J345" i="25"/>
  <c r="J329" i="25" s="1"/>
  <c r="O295" i="25"/>
  <c r="O291" i="25"/>
  <c r="O296" i="25" s="1"/>
  <c r="J288" i="25"/>
  <c r="J304" i="25" s="1"/>
  <c r="J336" i="25"/>
  <c r="J320" i="25" s="1"/>
  <c r="J290" i="25"/>
  <c r="J306" i="25" s="1"/>
  <c r="J338" i="25"/>
  <c r="J322" i="25" s="1"/>
  <c r="J292" i="25"/>
  <c r="J308" i="25" s="1"/>
  <c r="V292" i="25"/>
  <c r="AH292" i="25" s="1"/>
  <c r="V308" i="25" s="1"/>
  <c r="J340" i="25"/>
  <c r="J324" i="25" s="1"/>
  <c r="V295" i="25"/>
  <c r="AH295" i="25" s="1"/>
  <c r="V311" i="25" s="1"/>
  <c r="J343" i="25"/>
  <c r="J327" i="25" s="1"/>
  <c r="V288" i="25"/>
  <c r="AH288" i="25" s="1"/>
  <c r="V304" i="25" s="1"/>
  <c r="V289" i="25"/>
  <c r="AH289" i="25" s="1"/>
  <c r="V305" i="25" s="1"/>
  <c r="J291" i="25"/>
  <c r="J307" i="25" s="1"/>
  <c r="V291" i="25"/>
  <c r="AH291" i="25" s="1"/>
  <c r="V307" i="25" s="1"/>
  <c r="N291" i="25"/>
  <c r="N296" i="25" s="1"/>
  <c r="J295" i="25"/>
  <c r="J311" i="25" s="1"/>
  <c r="L291" i="25"/>
  <c r="L296" i="25" s="1"/>
  <c r="M291" i="25"/>
  <c r="M296" i="25" s="1"/>
  <c r="M287" i="25"/>
  <c r="H290" i="25"/>
  <c r="N294" i="25"/>
  <c r="O287" i="25"/>
  <c r="K287" i="25" l="1"/>
  <c r="M78" i="25"/>
  <c r="L78" i="25"/>
  <c r="L80" i="25"/>
  <c r="L87" i="25" s="1"/>
  <c r="M85" i="25"/>
  <c r="M86" i="25" s="1"/>
  <c r="N85" i="25"/>
  <c r="N86" i="25" s="1"/>
  <c r="N78" i="25"/>
  <c r="N80" i="25"/>
  <c r="N87" i="25" s="1"/>
  <c r="N306" i="25"/>
  <c r="N220" i="25"/>
  <c r="N219" i="25"/>
  <c r="O306" i="25"/>
  <c r="O219" i="25"/>
  <c r="O220" i="25"/>
  <c r="K85" i="25"/>
  <c r="K80" i="25"/>
  <c r="K78" i="25"/>
  <c r="M221" i="25"/>
  <c r="M307" i="25" s="1"/>
  <c r="K306" i="25"/>
  <c r="K220" i="25"/>
  <c r="K219" i="25"/>
  <c r="L292" i="25"/>
  <c r="L287" i="25"/>
  <c r="L306" i="25"/>
  <c r="L220" i="25"/>
  <c r="L219" i="25"/>
  <c r="O85" i="25"/>
  <c r="O86" i="25" s="1"/>
  <c r="O78" i="25"/>
  <c r="O80" i="25"/>
  <c r="O87" i="25" s="1"/>
  <c r="N292" i="25"/>
  <c r="N287" i="25"/>
  <c r="M311" i="25"/>
  <c r="M222" i="25"/>
  <c r="K221" i="25" l="1"/>
  <c r="K307" i="25" s="1"/>
  <c r="M312" i="25"/>
  <c r="L311" i="25"/>
  <c r="K222" i="25"/>
  <c r="M305" i="25"/>
  <c r="M308" i="25"/>
  <c r="O222" i="25"/>
  <c r="N221" i="25"/>
  <c r="N307" i="25" s="1"/>
  <c r="L222" i="25"/>
  <c r="K311" i="25"/>
  <c r="K87" i="25"/>
  <c r="O221" i="25"/>
  <c r="O307" i="25" s="1"/>
  <c r="N222" i="25"/>
  <c r="L221" i="25"/>
  <c r="L307" i="25" s="1"/>
  <c r="K86" i="25"/>
  <c r="O311" i="25"/>
  <c r="N311" i="25"/>
  <c r="L312" i="25" l="1"/>
  <c r="O312" i="25"/>
  <c r="L308" i="25"/>
  <c r="L305" i="25"/>
  <c r="N308" i="25"/>
  <c r="N305" i="25"/>
  <c r="K305" i="25"/>
  <c r="K308" i="25"/>
  <c r="O305" i="25"/>
  <c r="O308" i="25"/>
  <c r="N312" i="25"/>
  <c r="K312" i="25"/>
  <c r="E40" i="21" l="1"/>
  <c r="E35" i="21" l="1"/>
  <c r="E34" i="21"/>
  <c r="AE15" i="21" l="1"/>
  <c r="AE17" i="21"/>
  <c r="K31" i="21" l="1"/>
  <c r="AE29" i="21"/>
  <c r="AE31" i="21"/>
  <c r="AE34" i="21" s="1"/>
  <c r="E36" i="21"/>
  <c r="E42" i="21"/>
  <c r="V270" i="2"/>
  <c r="V265" i="2"/>
  <c r="V405" i="2" s="1"/>
  <c r="V545" i="2" s="1"/>
  <c r="V542" i="2"/>
  <c r="V538" i="2"/>
  <c r="V250" i="2"/>
  <c r="V390" i="2" s="1"/>
  <c r="V530" i="2" s="1"/>
  <c r="V251" i="2"/>
  <c r="V391" i="2" s="1"/>
  <c r="V531" i="2" s="1"/>
  <c r="V252" i="2"/>
  <c r="V253" i="2"/>
  <c r="V393" i="2" s="1"/>
  <c r="V533" i="2" s="1"/>
  <c r="V244" i="2"/>
  <c r="V245" i="2"/>
  <c r="V385" i="2" s="1"/>
  <c r="V525" i="2" s="1"/>
  <c r="V246" i="2"/>
  <c r="V386" i="2" s="1"/>
  <c r="V526" i="2" s="1"/>
  <c r="V247" i="2"/>
  <c r="V387" i="2" s="1"/>
  <c r="V527" i="2" s="1"/>
  <c r="V239" i="2"/>
  <c r="V379" i="2" s="1"/>
  <c r="V519" i="2" s="1"/>
  <c r="V240" i="2"/>
  <c r="V380" i="2" s="1"/>
  <c r="V520" i="2" s="1"/>
  <c r="V232" i="2"/>
  <c r="V372" i="2" s="1"/>
  <c r="V512" i="2" s="1"/>
  <c r="V241" i="2"/>
  <c r="V381" i="2" s="1"/>
  <c r="V521" i="2" s="1"/>
  <c r="V368" i="2"/>
  <c r="V508" i="2" s="1"/>
  <c r="V235" i="2"/>
  <c r="V375" i="2" s="1"/>
  <c r="V515" i="2" s="1"/>
  <c r="V369" i="2"/>
  <c r="V509" i="2" s="1"/>
  <c r="V227" i="2"/>
  <c r="V367" i="2" s="1"/>
  <c r="V507" i="2" s="1"/>
  <c r="V231" i="2"/>
  <c r="V371" i="2" s="1"/>
  <c r="V511" i="2" s="1"/>
  <c r="V236" i="2"/>
  <c r="V376" i="2" s="1"/>
  <c r="V516" i="2" s="1"/>
  <c r="V237" i="2"/>
  <c r="V377" i="2" s="1"/>
  <c r="V517" i="2" s="1"/>
  <c r="V238" i="2"/>
  <c r="V378" i="2" s="1"/>
  <c r="V518" i="2" s="1"/>
  <c r="V214" i="2"/>
  <c r="V354" i="2" s="1"/>
  <c r="V494" i="2" s="1"/>
  <c r="V215" i="2"/>
  <c r="V216" i="2"/>
  <c r="V356" i="2" s="1"/>
  <c r="V496" i="2" s="1"/>
  <c r="V218" i="2"/>
  <c r="V358" i="2" s="1"/>
  <c r="V498" i="2" s="1"/>
  <c r="V219" i="2"/>
  <c r="V359" i="2" s="1"/>
  <c r="V499" i="2" s="1"/>
  <c r="V220" i="2"/>
  <c r="V360" i="2" s="1"/>
  <c r="V500" i="2" s="1"/>
  <c r="V223" i="2"/>
  <c r="V363" i="2" s="1"/>
  <c r="V503" i="2" s="1"/>
  <c r="V202" i="2"/>
  <c r="V342" i="2" s="1"/>
  <c r="V482" i="2" s="1"/>
  <c r="V203" i="2"/>
  <c r="V343" i="2" s="1"/>
  <c r="V483" i="2" s="1"/>
  <c r="V204" i="2"/>
  <c r="V344" i="2" s="1"/>
  <c r="V484" i="2" s="1"/>
  <c r="V347" i="2"/>
  <c r="V487" i="2" s="1"/>
  <c r="V208" i="2"/>
  <c r="V348" i="2" s="1"/>
  <c r="V488" i="2" s="1"/>
  <c r="V480" i="2"/>
  <c r="V479" i="2"/>
  <c r="V193" i="2"/>
  <c r="V469" i="2"/>
  <c r="V176" i="2"/>
  <c r="V316" i="2" s="1"/>
  <c r="V456" i="2" s="1"/>
  <c r="V179" i="2"/>
  <c r="V319" i="2" s="1"/>
  <c r="V459" i="2" s="1"/>
  <c r="V165" i="2"/>
  <c r="V305" i="2" s="1"/>
  <c r="V445" i="2" s="1"/>
  <c r="V166" i="2"/>
  <c r="V167" i="2"/>
  <c r="V307" i="2" s="1"/>
  <c r="V447" i="2" s="1"/>
  <c r="V168" i="2"/>
  <c r="V308" i="2" s="1"/>
  <c r="V448" i="2" s="1"/>
  <c r="V156" i="2"/>
  <c r="V296" i="2" s="1"/>
  <c r="V436" i="2" s="1"/>
  <c r="V157" i="2"/>
  <c r="V158" i="2"/>
  <c r="V298" i="2" s="1"/>
  <c r="V438" i="2" s="1"/>
  <c r="V425" i="2"/>
  <c r="V424" i="2"/>
  <c r="V340" i="2"/>
  <c r="V339" i="2"/>
  <c r="V285" i="2"/>
  <c r="V284" i="2"/>
  <c r="V200" i="2"/>
  <c r="V199" i="2"/>
  <c r="V145" i="2"/>
  <c r="V144" i="2"/>
  <c r="V132" i="2"/>
  <c r="V127" i="2"/>
  <c r="V122" i="2"/>
  <c r="V118" i="2"/>
  <c r="V114" i="2"/>
  <c r="V108" i="2"/>
  <c r="V84" i="2"/>
  <c r="V72" i="2"/>
  <c r="V59" i="2"/>
  <c r="V55" i="2"/>
  <c r="V49" i="2"/>
  <c r="V40" i="2"/>
  <c r="V29" i="2"/>
  <c r="Q290" i="2"/>
  <c r="Q289" i="2"/>
  <c r="Q429" i="2" s="1"/>
  <c r="G308" i="2"/>
  <c r="H308" i="2" s="1"/>
  <c r="K308" i="2" s="1"/>
  <c r="BN22" i="2" s="1"/>
  <c r="G307" i="2"/>
  <c r="G306" i="2"/>
  <c r="G446" i="2" s="1"/>
  <c r="H446" i="2" s="1"/>
  <c r="K446" i="2" s="1"/>
  <c r="H204" i="2"/>
  <c r="H203" i="2"/>
  <c r="H436" i="2"/>
  <c r="G436" i="2" s="1"/>
  <c r="H435" i="2"/>
  <c r="G435" i="2" s="1"/>
  <c r="D259" i="2"/>
  <c r="H39" i="5"/>
  <c r="H36" i="5"/>
  <c r="H15" i="5"/>
  <c r="H14" i="5"/>
  <c r="H13" i="5"/>
  <c r="H10" i="5"/>
  <c r="H9" i="5"/>
  <c r="H8" i="5"/>
  <c r="D15" i="5"/>
  <c r="D14" i="5"/>
  <c r="D9" i="5"/>
  <c r="D8" i="5"/>
  <c r="AV9" i="2"/>
  <c r="L149" i="2" s="1"/>
  <c r="K149" i="2" s="1"/>
  <c r="BM9" i="2" s="1"/>
  <c r="D187" i="2"/>
  <c r="K63" i="5"/>
  <c r="D11" i="5"/>
  <c r="D16" i="5"/>
  <c r="D36" i="5"/>
  <c r="H11" i="5"/>
  <c r="L36" i="5"/>
  <c r="L11" i="5"/>
  <c r="D17" i="5"/>
  <c r="D38" i="5"/>
  <c r="H17" i="5"/>
  <c r="L38" i="5"/>
  <c r="L17" i="5"/>
  <c r="H16" i="5"/>
  <c r="L16" i="5"/>
  <c r="D176" i="2"/>
  <c r="H166" i="2"/>
  <c r="K166" i="2" s="1"/>
  <c r="H167" i="2"/>
  <c r="K167" i="2" s="1"/>
  <c r="H168" i="2"/>
  <c r="K168" i="2" s="1"/>
  <c r="BM22" i="2" s="1"/>
  <c r="D18" i="21"/>
  <c r="D19" i="21"/>
  <c r="D13" i="21"/>
  <c r="D14" i="21"/>
  <c r="Q214" i="2"/>
  <c r="Q213" i="2" s="1"/>
  <c r="Q202" i="2"/>
  <c r="Q201" i="2" s="1"/>
  <c r="Q369" i="2"/>
  <c r="Q509" i="2" s="1"/>
  <c r="Q368" i="2"/>
  <c r="Q508" i="2" s="1"/>
  <c r="Q86" i="2"/>
  <c r="Q85" i="2" s="1"/>
  <c r="Q74" i="2"/>
  <c r="Q73" i="2" s="1"/>
  <c r="Q62" i="2"/>
  <c r="Q61" i="2" s="1"/>
  <c r="Q31" i="2"/>
  <c r="Q30" i="2" s="1"/>
  <c r="T10" i="2"/>
  <c r="T7" i="2" s="1"/>
  <c r="K65" i="5"/>
  <c r="K64" i="5"/>
  <c r="K61" i="5"/>
  <c r="D25" i="5"/>
  <c r="D26" i="5"/>
  <c r="D27" i="5"/>
  <c r="D28" i="5"/>
  <c r="H25" i="5"/>
  <c r="H26" i="5"/>
  <c r="H27" i="5"/>
  <c r="H28" i="5"/>
  <c r="L9" i="5"/>
  <c r="L25" i="5"/>
  <c r="L26" i="5"/>
  <c r="L27" i="5"/>
  <c r="L28" i="5"/>
  <c r="L8" i="5"/>
  <c r="L10" i="5"/>
  <c r="L13" i="5"/>
  <c r="L14" i="5"/>
  <c r="L15" i="5"/>
  <c r="D151" i="5"/>
  <c r="D168" i="5" s="1"/>
  <c r="AB41" i="20" s="1"/>
  <c r="AG41" i="20" s="1"/>
  <c r="I559" i="2"/>
  <c r="L524" i="2"/>
  <c r="H524" i="2"/>
  <c r="L525" i="2"/>
  <c r="H525" i="2"/>
  <c r="H529" i="2"/>
  <c r="H535" i="2"/>
  <c r="BW105" i="2" s="1"/>
  <c r="H539" i="2"/>
  <c r="BW106" i="2" s="1"/>
  <c r="H543" i="2"/>
  <c r="BW107" i="2" s="1"/>
  <c r="H548" i="2"/>
  <c r="BW108" i="2" s="1"/>
  <c r="I558" i="2"/>
  <c r="I557" i="2"/>
  <c r="I556" i="2"/>
  <c r="I555" i="2"/>
  <c r="I554" i="2"/>
  <c r="R530" i="2"/>
  <c r="P530" i="2"/>
  <c r="H473" i="2"/>
  <c r="F452" i="2"/>
  <c r="H452" i="2" s="1"/>
  <c r="F453" i="2"/>
  <c r="H453" i="2" s="1"/>
  <c r="F454" i="2"/>
  <c r="H454" i="2" s="1"/>
  <c r="F455" i="2"/>
  <c r="H455" i="2" s="1"/>
  <c r="H456" i="2"/>
  <c r="H467" i="2"/>
  <c r="H469" i="2"/>
  <c r="H470" i="2"/>
  <c r="H472" i="2"/>
  <c r="S471" i="2"/>
  <c r="S468" i="2"/>
  <c r="S467" i="2"/>
  <c r="Q466" i="2"/>
  <c r="K465" i="2"/>
  <c r="BP34" i="2" s="1"/>
  <c r="K464" i="2"/>
  <c r="BP33" i="2" s="1"/>
  <c r="K463" i="2"/>
  <c r="BP32" i="2" s="1"/>
  <c r="K462" i="2"/>
  <c r="BP31" i="2" s="1"/>
  <c r="S461" i="2"/>
  <c r="K461" i="2"/>
  <c r="G431" i="2"/>
  <c r="G430" i="2"/>
  <c r="G429" i="2"/>
  <c r="G428" i="2"/>
  <c r="D166" i="2"/>
  <c r="D192" i="2"/>
  <c r="F41" i="5" s="1"/>
  <c r="T30" i="2"/>
  <c r="AR36" i="2" s="1"/>
  <c r="K195" i="25" s="1"/>
  <c r="W209" i="25" s="1"/>
  <c r="D32" i="2"/>
  <c r="D33" i="2"/>
  <c r="AQ26" i="5" s="1"/>
  <c r="BE26" i="5" s="1"/>
  <c r="D17" i="2"/>
  <c r="D12" i="2"/>
  <c r="D34" i="2"/>
  <c r="D35" i="2"/>
  <c r="D30" i="2"/>
  <c r="AQ23" i="5" s="1"/>
  <c r="BE23" i="5" s="1"/>
  <c r="BL9" i="5" s="1"/>
  <c r="Y173" i="2"/>
  <c r="AB173" i="2" s="1"/>
  <c r="Z173" i="2" s="1"/>
  <c r="Y176" i="2"/>
  <c r="AB313" i="2"/>
  <c r="AB316" i="2"/>
  <c r="AB453" i="2"/>
  <c r="AA453" i="2" s="1"/>
  <c r="AB456" i="2"/>
  <c r="AB33" i="2"/>
  <c r="Z33" i="2" s="1"/>
  <c r="AB36" i="2"/>
  <c r="AB37" i="2" s="1"/>
  <c r="AR33" i="2"/>
  <c r="K189" i="25" s="1"/>
  <c r="W203" i="25" s="1"/>
  <c r="AR20" i="2"/>
  <c r="AR99" i="2"/>
  <c r="D86" i="2"/>
  <c r="AQ56" i="5" s="1"/>
  <c r="BE56" i="5" s="1"/>
  <c r="D87" i="2"/>
  <c r="AR21" i="2"/>
  <c r="AR100" i="2"/>
  <c r="AR14" i="2"/>
  <c r="AR93" i="2"/>
  <c r="AR13" i="2"/>
  <c r="AR92" i="2"/>
  <c r="Y13" i="2"/>
  <c r="Y92" i="2" s="1"/>
  <c r="K8" i="2"/>
  <c r="BL8" i="2" s="1"/>
  <c r="K9" i="2"/>
  <c r="BL9" i="2" s="1"/>
  <c r="K10" i="2"/>
  <c r="BL10" i="2" s="1"/>
  <c r="L11" i="2"/>
  <c r="K11" i="2" s="1"/>
  <c r="BL11" i="2" s="1"/>
  <c r="K13" i="2"/>
  <c r="BL13" i="2" s="1"/>
  <c r="K14" i="2"/>
  <c r="BL14" i="2" s="1"/>
  <c r="K15" i="2"/>
  <c r="BL15" i="2" s="1"/>
  <c r="L16" i="2"/>
  <c r="K16" i="2" s="1"/>
  <c r="BL16" i="2" s="1"/>
  <c r="L17" i="2"/>
  <c r="K17" i="2" s="1"/>
  <c r="BL17" i="2" s="1"/>
  <c r="Y8" i="2"/>
  <c r="Y87" i="2" s="1"/>
  <c r="Y12" i="2"/>
  <c r="Y91" i="2" s="1"/>
  <c r="Y14" i="2"/>
  <c r="Y93" i="2" s="1"/>
  <c r="AB153" i="2"/>
  <c r="E83" i="23" s="1"/>
  <c r="AB148" i="2"/>
  <c r="AB152" i="2"/>
  <c r="W152" i="2" s="1"/>
  <c r="AB154" i="2"/>
  <c r="Y154" i="2" s="1"/>
  <c r="Y233" i="2" s="1"/>
  <c r="Z293" i="2"/>
  <c r="Z288" i="2"/>
  <c r="Z292" i="2"/>
  <c r="Z294" i="2"/>
  <c r="Y293" i="2"/>
  <c r="Y372" i="2" s="1"/>
  <c r="Y367" i="2"/>
  <c r="Y371" i="2"/>
  <c r="Y294" i="2"/>
  <c r="Y373" i="2" s="1"/>
  <c r="Z433" i="2"/>
  <c r="Z428" i="2"/>
  <c r="Z432" i="2"/>
  <c r="Z434" i="2"/>
  <c r="Y433" i="2"/>
  <c r="Y512" i="2" s="1"/>
  <c r="Y507" i="2"/>
  <c r="Y511" i="2"/>
  <c r="Y434" i="2"/>
  <c r="Y513" i="2" s="1"/>
  <c r="AR22" i="2"/>
  <c r="AR101" i="2"/>
  <c r="AR15" i="2"/>
  <c r="AR94" i="2"/>
  <c r="AR9" i="2"/>
  <c r="AR88" i="2"/>
  <c r="AR16" i="2"/>
  <c r="AR95" i="2"/>
  <c r="AR10" i="2"/>
  <c r="AR89" i="2"/>
  <c r="AR8" i="2"/>
  <c r="AR87" i="2"/>
  <c r="AR12" i="2"/>
  <c r="AR91" i="2"/>
  <c r="AR17" i="2"/>
  <c r="AR96" i="2"/>
  <c r="AR18" i="2"/>
  <c r="AR97" i="2"/>
  <c r="AR19" i="2"/>
  <c r="AR98" i="2"/>
  <c r="AR7" i="2"/>
  <c r="AR86" i="2"/>
  <c r="H86" i="2"/>
  <c r="K86" i="2" s="1"/>
  <c r="BL56" i="2" s="1"/>
  <c r="H87" i="2"/>
  <c r="X10" i="2"/>
  <c r="X11" i="2" s="1"/>
  <c r="X23" i="2" s="1"/>
  <c r="AA9" i="2"/>
  <c r="AB9" i="2" s="1"/>
  <c r="AW19" i="2"/>
  <c r="Y16" i="2" s="1"/>
  <c r="D26" i="2"/>
  <c r="AQ20" i="5" s="1"/>
  <c r="BE20" i="5" s="1"/>
  <c r="H26" i="2"/>
  <c r="K26" i="2" s="1"/>
  <c r="BL20" i="2" s="1"/>
  <c r="D27" i="2"/>
  <c r="H27" i="2"/>
  <c r="K27" i="2" s="1"/>
  <c r="BL21" i="2" s="1"/>
  <c r="H28" i="2"/>
  <c r="K28" i="2" s="1"/>
  <c r="F32" i="2"/>
  <c r="H32" i="2" s="1"/>
  <c r="K32" i="2" s="1"/>
  <c r="BL25" i="2" s="1"/>
  <c r="F33" i="2"/>
  <c r="H33" i="2" s="1"/>
  <c r="K33" i="2" s="1"/>
  <c r="BL26" i="2" s="1"/>
  <c r="F34" i="2"/>
  <c r="H34" i="2" s="1"/>
  <c r="K34" i="2" s="1"/>
  <c r="BL27" i="2" s="1"/>
  <c r="F35" i="2"/>
  <c r="H35" i="2" s="1"/>
  <c r="K35" i="2" s="1"/>
  <c r="BL28" i="2" s="1"/>
  <c r="H36" i="2"/>
  <c r="I36" i="2" s="1"/>
  <c r="H52" i="2"/>
  <c r="H53" i="2"/>
  <c r="K53" i="2" s="1"/>
  <c r="BL42" i="2" s="1"/>
  <c r="D53" i="2"/>
  <c r="X35" i="2"/>
  <c r="C103" i="5"/>
  <c r="C104" i="5" s="1"/>
  <c r="F155" i="5" s="1"/>
  <c r="C102" i="5"/>
  <c r="D131" i="5" s="1"/>
  <c r="D153" i="5" s="1"/>
  <c r="D244" i="2"/>
  <c r="D63" i="2"/>
  <c r="AQ49" i="5" s="1"/>
  <c r="BE49" i="5" s="1"/>
  <c r="D64" i="2"/>
  <c r="AQ50" i="5" s="1"/>
  <c r="BE50" i="5" s="1"/>
  <c r="C120" i="5"/>
  <c r="E161" i="5" s="1"/>
  <c r="F161" i="5" s="1"/>
  <c r="G161" i="5" s="1"/>
  <c r="H161" i="5" s="1"/>
  <c r="D76" i="2"/>
  <c r="D104" i="2"/>
  <c r="D105" i="2"/>
  <c r="AQ60" i="5" s="1"/>
  <c r="BE60" i="5" s="1"/>
  <c r="AW31" i="2"/>
  <c r="Y296" i="2" s="1"/>
  <c r="Y375" i="2" s="1"/>
  <c r="Y378" i="2" s="1"/>
  <c r="X150" i="2"/>
  <c r="X156" i="2" s="1"/>
  <c r="AW25" i="2"/>
  <c r="Y156" i="2" s="1"/>
  <c r="Y159" i="2" s="1"/>
  <c r="AA15" i="2"/>
  <c r="AB15" i="2" s="1"/>
  <c r="D85" i="23" s="1"/>
  <c r="X290" i="2"/>
  <c r="X430" i="2"/>
  <c r="X436" i="2" s="1"/>
  <c r="X429" i="2" s="1"/>
  <c r="D49" i="2"/>
  <c r="AQ38" i="5" s="1"/>
  <c r="BE38" i="5" s="1"/>
  <c r="AB437" i="2"/>
  <c r="H384" i="2"/>
  <c r="K384" i="2" s="1"/>
  <c r="AB297" i="2"/>
  <c r="H244" i="2"/>
  <c r="K244" i="2" s="1"/>
  <c r="H128" i="2"/>
  <c r="H123" i="2"/>
  <c r="H104" i="2"/>
  <c r="K104" i="2" s="1"/>
  <c r="BL59" i="2" s="1"/>
  <c r="Y7" i="2"/>
  <c r="AB7" i="2" s="1"/>
  <c r="D79" i="23" s="1"/>
  <c r="D74" i="2"/>
  <c r="D75" i="2"/>
  <c r="AQ53" i="5" s="1"/>
  <c r="BE53" i="5" s="1"/>
  <c r="AV6" i="2"/>
  <c r="AX6" i="2" s="1"/>
  <c r="Y483" i="2" s="1"/>
  <c r="Y352" i="2"/>
  <c r="Y364" i="2" s="1"/>
  <c r="D62" i="2"/>
  <c r="T61" i="2"/>
  <c r="D66" i="23" s="1"/>
  <c r="H74" i="2"/>
  <c r="K74" i="2" s="1"/>
  <c r="BL52" i="2" s="1"/>
  <c r="H75" i="2"/>
  <c r="K75" i="2" s="1"/>
  <c r="BL53" i="2" s="1"/>
  <c r="H76" i="2"/>
  <c r="H62" i="2"/>
  <c r="K62" i="2" s="1"/>
  <c r="BL48" i="2" s="1"/>
  <c r="H63" i="2"/>
  <c r="K63" i="2" s="1"/>
  <c r="BL49" i="2" s="1"/>
  <c r="H64" i="2"/>
  <c r="K64" i="2" s="1"/>
  <c r="BL50" i="2" s="1"/>
  <c r="Y300" i="2"/>
  <c r="Y203" i="2"/>
  <c r="Y215" i="2" s="1"/>
  <c r="Y160" i="2"/>
  <c r="Y202" i="2" s="1"/>
  <c r="Y68" i="2"/>
  <c r="Y69" i="2" s="1"/>
  <c r="Y84" i="2"/>
  <c r="Y77" i="2" s="1"/>
  <c r="Y75" i="2"/>
  <c r="Y20" i="2"/>
  <c r="Y74" i="2" s="1"/>
  <c r="Y65" i="2"/>
  <c r="Y350" i="2"/>
  <c r="U223" i="2"/>
  <c r="U363" i="2" s="1"/>
  <c r="U503" i="2" s="1"/>
  <c r="U222" i="2"/>
  <c r="U362" i="2" s="1"/>
  <c r="U502" i="2" s="1"/>
  <c r="U224" i="2"/>
  <c r="U364" i="2" s="1"/>
  <c r="U504" i="2" s="1"/>
  <c r="U211" i="2"/>
  <c r="U351" i="2" s="1"/>
  <c r="U491" i="2" s="1"/>
  <c r="U210" i="2"/>
  <c r="U350" i="2" s="1"/>
  <c r="U490" i="2" s="1"/>
  <c r="D268" i="2"/>
  <c r="AV8" i="2"/>
  <c r="D263" i="2"/>
  <c r="D403" i="2" s="1"/>
  <c r="H408" i="2"/>
  <c r="BU108" i="2" s="1"/>
  <c r="H403" i="2"/>
  <c r="BU107" i="2" s="1"/>
  <c r="H332" i="2"/>
  <c r="H333" i="2"/>
  <c r="H268" i="2"/>
  <c r="BT108" i="2" s="1"/>
  <c r="H263" i="2"/>
  <c r="BT107" i="2" s="1"/>
  <c r="H192" i="2"/>
  <c r="H193" i="2"/>
  <c r="U271" i="2"/>
  <c r="U411" i="2" s="1"/>
  <c r="U551" i="2" s="1"/>
  <c r="U266" i="2"/>
  <c r="U406" i="2" s="1"/>
  <c r="U546" i="2" s="1"/>
  <c r="U267" i="2"/>
  <c r="U407" i="2" s="1"/>
  <c r="U547" i="2" s="1"/>
  <c r="U194" i="2"/>
  <c r="U334" i="2" s="1"/>
  <c r="U474" i="2" s="1"/>
  <c r="H187" i="2"/>
  <c r="AV10" i="2"/>
  <c r="L189" i="2" s="1"/>
  <c r="H189" i="2"/>
  <c r="H190" i="2"/>
  <c r="D50" i="2"/>
  <c r="X455" i="2"/>
  <c r="X454" i="2" s="1"/>
  <c r="X315" i="2"/>
  <c r="X319" i="2" s="1"/>
  <c r="F312" i="2"/>
  <c r="H312" i="2" s="1"/>
  <c r="F313" i="2"/>
  <c r="H313" i="2" s="1"/>
  <c r="F314" i="2"/>
  <c r="H314" i="2" s="1"/>
  <c r="F315" i="2"/>
  <c r="H315" i="2" s="1"/>
  <c r="H316" i="2"/>
  <c r="X175" i="2"/>
  <c r="X179" i="2" s="1"/>
  <c r="F172" i="2"/>
  <c r="H172" i="2" s="1"/>
  <c r="F173" i="2"/>
  <c r="H173" i="2" s="1"/>
  <c r="F174" i="2"/>
  <c r="H174" i="2" s="1"/>
  <c r="F175" i="2"/>
  <c r="H175" i="2" s="1"/>
  <c r="H176" i="2"/>
  <c r="Y38" i="2"/>
  <c r="X38" i="2"/>
  <c r="Y458" i="2"/>
  <c r="X458" i="2"/>
  <c r="Y318" i="2"/>
  <c r="X318" i="2"/>
  <c r="X178" i="2"/>
  <c r="U179" i="2"/>
  <c r="U319" i="2" s="1"/>
  <c r="U459" i="2" s="1"/>
  <c r="U178" i="2"/>
  <c r="U318" i="2" s="1"/>
  <c r="U458" i="2" s="1"/>
  <c r="AB104" i="2"/>
  <c r="AB110" i="2" s="1"/>
  <c r="AB112" i="2" s="1"/>
  <c r="AB244" i="2"/>
  <c r="AB246" i="2" s="1"/>
  <c r="W246" i="2" s="1"/>
  <c r="AB384" i="2"/>
  <c r="AB390" i="2" s="1"/>
  <c r="F146" i="23" s="1"/>
  <c r="U253" i="2"/>
  <c r="U393" i="2" s="1"/>
  <c r="U533" i="2" s="1"/>
  <c r="U247" i="2"/>
  <c r="U387" i="2" s="1"/>
  <c r="U527" i="2" s="1"/>
  <c r="D24" i="2"/>
  <c r="AQ18" i="5" s="1"/>
  <c r="BE18" i="5" s="1"/>
  <c r="BL8" i="5" s="1"/>
  <c r="T24" i="2"/>
  <c r="AR29" i="2" s="1"/>
  <c r="X518" i="2"/>
  <c r="X517" i="2"/>
  <c r="X516" i="2"/>
  <c r="X378" i="2"/>
  <c r="X377" i="2"/>
  <c r="X376" i="2"/>
  <c r="X238" i="2"/>
  <c r="X237" i="2"/>
  <c r="X236" i="2"/>
  <c r="X439" i="2"/>
  <c r="AA428" i="2"/>
  <c r="AA431" i="2" s="1"/>
  <c r="Y437" i="2"/>
  <c r="X437" i="2"/>
  <c r="X299" i="2"/>
  <c r="AA288" i="2"/>
  <c r="Y297" i="2"/>
  <c r="X297" i="2"/>
  <c r="X159" i="2"/>
  <c r="X157" i="2"/>
  <c r="X98" i="2"/>
  <c r="X97" i="2"/>
  <c r="X96" i="2"/>
  <c r="AB17" i="2"/>
  <c r="AA8" i="2"/>
  <c r="AA17" i="2" s="1"/>
  <c r="Z8" i="2"/>
  <c r="Z17" i="2" s="1"/>
  <c r="X17" i="2"/>
  <c r="X19" i="2"/>
  <c r="AV7" i="2"/>
  <c r="L175" i="2" s="1"/>
  <c r="AV11" i="2"/>
  <c r="AX11" i="2" s="1"/>
  <c r="AZ11" i="2" s="1"/>
  <c r="I277" i="2"/>
  <c r="P137" i="2"/>
  <c r="I417" i="2"/>
  <c r="I278" i="2"/>
  <c r="P138" i="2"/>
  <c r="I418" i="2"/>
  <c r="I274" i="2"/>
  <c r="M134" i="2"/>
  <c r="M133" i="2" s="1"/>
  <c r="BE66" i="2" s="1"/>
  <c r="I414" i="2"/>
  <c r="I276" i="2"/>
  <c r="P136" i="2"/>
  <c r="I416" i="2"/>
  <c r="I279" i="2"/>
  <c r="P139" i="2"/>
  <c r="I419" i="2"/>
  <c r="Y302" i="2"/>
  <c r="Y381" i="2" s="1"/>
  <c r="Y442" i="2"/>
  <c r="Y521" i="2" s="1"/>
  <c r="H327" i="2"/>
  <c r="H329" i="2"/>
  <c r="H330" i="2"/>
  <c r="H395" i="2"/>
  <c r="BU105" i="2" s="1"/>
  <c r="D115" i="2"/>
  <c r="H399" i="2"/>
  <c r="BU106" i="2" s="1"/>
  <c r="I275" i="2"/>
  <c r="P135" i="2"/>
  <c r="AD139" i="2" s="1"/>
  <c r="AQ139" i="2" s="1"/>
  <c r="I415" i="2"/>
  <c r="Y22" i="2"/>
  <c r="Y101" i="2" s="1"/>
  <c r="AB162" i="2"/>
  <c r="Y162" i="2" s="1"/>
  <c r="Y241" i="2" s="1"/>
  <c r="H47" i="2"/>
  <c r="K47" i="2" s="1"/>
  <c r="BL36" i="2" s="1"/>
  <c r="H49" i="2"/>
  <c r="K49" i="2" s="1"/>
  <c r="BL38" i="2" s="1"/>
  <c r="H50" i="2"/>
  <c r="K50" i="2" s="1"/>
  <c r="BL39" i="2" s="1"/>
  <c r="H115" i="2"/>
  <c r="H119" i="2"/>
  <c r="H255" i="2"/>
  <c r="BT105" i="2" s="1"/>
  <c r="H259" i="2"/>
  <c r="BT106" i="2" s="1"/>
  <c r="Z14" i="2"/>
  <c r="Z12" i="2"/>
  <c r="Z13" i="2"/>
  <c r="X440" i="2"/>
  <c r="AU31" i="2"/>
  <c r="Y301" i="2" s="1"/>
  <c r="X300" i="2"/>
  <c r="X301" i="2" s="1"/>
  <c r="X160" i="2"/>
  <c r="AU25" i="2"/>
  <c r="Y161" i="2" s="1"/>
  <c r="Y240" i="2" s="1"/>
  <c r="X20" i="2"/>
  <c r="AU19" i="2"/>
  <c r="Y21" i="2" s="1"/>
  <c r="Y100" i="2" s="1"/>
  <c r="Y287" i="2"/>
  <c r="Y147" i="2"/>
  <c r="AB147" i="2" s="1"/>
  <c r="AB451" i="2"/>
  <c r="X452" i="2"/>
  <c r="H385" i="2"/>
  <c r="K385" i="2" s="1"/>
  <c r="H389" i="2"/>
  <c r="P390" i="2"/>
  <c r="X312" i="2"/>
  <c r="AB311" i="2"/>
  <c r="H245" i="2"/>
  <c r="K245" i="2" s="1"/>
  <c r="H249" i="2"/>
  <c r="P250" i="2"/>
  <c r="X172" i="2"/>
  <c r="Y171" i="2"/>
  <c r="AB171" i="2" s="1"/>
  <c r="H105" i="2"/>
  <c r="K105" i="2" s="1"/>
  <c r="H109" i="2"/>
  <c r="P110" i="2"/>
  <c r="AB31" i="2"/>
  <c r="AA31" i="2" s="1"/>
  <c r="X32" i="2"/>
  <c r="D42" i="2"/>
  <c r="D43" i="2"/>
  <c r="D44" i="2"/>
  <c r="D45" i="2"/>
  <c r="G181" i="2"/>
  <c r="F181" i="2"/>
  <c r="E17" i="23" s="1"/>
  <c r="B33" i="20"/>
  <c r="B51" i="20" s="1"/>
  <c r="B34" i="20"/>
  <c r="B52" i="20" s="1"/>
  <c r="B35" i="20"/>
  <c r="B53" i="20" s="1"/>
  <c r="B29" i="20"/>
  <c r="B47" i="20" s="1"/>
  <c r="B31" i="20"/>
  <c r="B49" i="20" s="1"/>
  <c r="B27" i="20"/>
  <c r="B45" i="20" s="1"/>
  <c r="B28" i="20"/>
  <c r="B46" i="20" s="1"/>
  <c r="B30" i="20"/>
  <c r="B48" i="20" s="1"/>
  <c r="B32" i="20"/>
  <c r="B50" i="20" s="1"/>
  <c r="B26" i="20"/>
  <c r="B44" i="20" s="1"/>
  <c r="B25" i="20"/>
  <c r="B43" i="20" s="1"/>
  <c r="B24" i="20"/>
  <c r="B42" i="20" s="1"/>
  <c r="AI199" i="2"/>
  <c r="AI284" i="2"/>
  <c r="AI339" i="2"/>
  <c r="AI424" i="2"/>
  <c r="AI479" i="2"/>
  <c r="AI145" i="2"/>
  <c r="AI144" i="2"/>
  <c r="AI59" i="2"/>
  <c r="AD425" i="2"/>
  <c r="AC425" i="2"/>
  <c r="AB425" i="2"/>
  <c r="AA425" i="2"/>
  <c r="Z425" i="2"/>
  <c r="Y425" i="2"/>
  <c r="X425" i="2"/>
  <c r="W425" i="2"/>
  <c r="S425" i="2"/>
  <c r="R425" i="2"/>
  <c r="Q425" i="2"/>
  <c r="P425" i="2"/>
  <c r="O425" i="2"/>
  <c r="N425" i="2"/>
  <c r="M425" i="2"/>
  <c r="L425" i="2"/>
  <c r="K425" i="2"/>
  <c r="J425" i="2"/>
  <c r="I425" i="2"/>
  <c r="H425" i="2"/>
  <c r="G425" i="2"/>
  <c r="F425" i="2"/>
  <c r="E425" i="2"/>
  <c r="D425" i="2"/>
  <c r="C98" i="5"/>
  <c r="C113" i="5"/>
  <c r="G149" i="5" s="1"/>
  <c r="D147" i="5"/>
  <c r="D166" i="5" s="1"/>
  <c r="AB39" i="20" s="1"/>
  <c r="AG39" i="20" s="1"/>
  <c r="D148" i="5"/>
  <c r="D149" i="5"/>
  <c r="D157" i="5" s="1"/>
  <c r="F149" i="5"/>
  <c r="D125" i="5"/>
  <c r="D137" i="5" s="1"/>
  <c r="AB11" i="20" s="1"/>
  <c r="AG11" i="20" s="1"/>
  <c r="E149" i="5"/>
  <c r="E157" i="5" s="1"/>
  <c r="D130" i="5"/>
  <c r="D152" i="5" s="1"/>
  <c r="H127" i="5"/>
  <c r="H132" i="5" s="1"/>
  <c r="H157" i="5" s="1"/>
  <c r="F127" i="5"/>
  <c r="F132" i="5" s="1"/>
  <c r="F157" i="5" s="1"/>
  <c r="D127" i="5"/>
  <c r="D132" i="5" s="1"/>
  <c r="D129" i="5"/>
  <c r="D139" i="5" s="1"/>
  <c r="AB13" i="20" s="1"/>
  <c r="AG13" i="20" s="1"/>
  <c r="E127" i="5"/>
  <c r="E132" i="5" s="1"/>
  <c r="D126" i="5"/>
  <c r="C117" i="5"/>
  <c r="E158" i="5" s="1"/>
  <c r="C118" i="5"/>
  <c r="C119" i="5"/>
  <c r="E160" i="5" s="1"/>
  <c r="F160" i="5" s="1"/>
  <c r="G160" i="5" s="1"/>
  <c r="H160" i="5" s="1"/>
  <c r="D170" i="5"/>
  <c r="AB43" i="20" s="1"/>
  <c r="G127" i="5"/>
  <c r="G132" i="5" s="1"/>
  <c r="G157" i="5" s="1"/>
  <c r="E128" i="5"/>
  <c r="F128" i="5" s="1"/>
  <c r="G128" i="5" s="1"/>
  <c r="H128" i="5" s="1"/>
  <c r="E136" i="5"/>
  <c r="F136" i="5" s="1"/>
  <c r="G136" i="5" s="1"/>
  <c r="H136" i="5" s="1"/>
  <c r="AH10" i="21"/>
  <c r="G30" i="23"/>
  <c r="N30" i="23"/>
  <c r="G29" i="23"/>
  <c r="N29" i="23"/>
  <c r="G28" i="23"/>
  <c r="N28" i="23"/>
  <c r="G27" i="23"/>
  <c r="N27" i="23"/>
  <c r="AB531" i="2"/>
  <c r="G147" i="23" s="1"/>
  <c r="G26" i="23"/>
  <c r="N26" i="23"/>
  <c r="AB534" i="2"/>
  <c r="G149" i="23" s="1"/>
  <c r="G20" i="23"/>
  <c r="N20" i="23"/>
  <c r="G18" i="23"/>
  <c r="N18" i="23"/>
  <c r="G16" i="23"/>
  <c r="G11" i="23"/>
  <c r="G82" i="23"/>
  <c r="G83" i="23"/>
  <c r="G84" i="23"/>
  <c r="G89" i="23"/>
  <c r="G90" i="23"/>
  <c r="F30" i="23"/>
  <c r="M30" i="23"/>
  <c r="F29" i="23"/>
  <c r="M29" i="23"/>
  <c r="F28" i="23"/>
  <c r="M28" i="23"/>
  <c r="F27" i="23"/>
  <c r="M27" i="23"/>
  <c r="AB391" i="2"/>
  <c r="F147" i="23" s="1"/>
  <c r="F26" i="23"/>
  <c r="M26" i="23"/>
  <c r="AB394" i="2"/>
  <c r="F149" i="23" s="1"/>
  <c r="AB385" i="2"/>
  <c r="F143" i="23" s="1"/>
  <c r="F20" i="23"/>
  <c r="M20" i="23"/>
  <c r="F18" i="23"/>
  <c r="M18" i="23"/>
  <c r="F11" i="23"/>
  <c r="F82" i="23"/>
  <c r="F83" i="23"/>
  <c r="F84" i="23"/>
  <c r="F89" i="23"/>
  <c r="F90" i="23"/>
  <c r="E30" i="23"/>
  <c r="L30" i="23"/>
  <c r="E29" i="23"/>
  <c r="L29" i="23"/>
  <c r="E28" i="23"/>
  <c r="L28" i="23"/>
  <c r="E27" i="23"/>
  <c r="L27" i="23"/>
  <c r="AB251" i="2"/>
  <c r="E147" i="23" s="1"/>
  <c r="E26" i="23"/>
  <c r="L26" i="23"/>
  <c r="AB254" i="2"/>
  <c r="E149" i="23" s="1"/>
  <c r="AB245" i="2"/>
  <c r="E143" i="23" s="1"/>
  <c r="E20" i="23"/>
  <c r="L20" i="23"/>
  <c r="E18" i="23"/>
  <c r="L18" i="23"/>
  <c r="E11" i="23"/>
  <c r="D30" i="23"/>
  <c r="K30" i="23"/>
  <c r="D29" i="23"/>
  <c r="K29" i="23"/>
  <c r="AB122" i="2"/>
  <c r="AB121" i="2" s="1"/>
  <c r="D154" i="23" s="1"/>
  <c r="D28" i="23"/>
  <c r="K28" i="23"/>
  <c r="AB118" i="2"/>
  <c r="AB117" i="2" s="1"/>
  <c r="D151" i="23" s="1"/>
  <c r="D27" i="23"/>
  <c r="K27" i="23"/>
  <c r="AB111" i="2"/>
  <c r="D147" i="23" s="1"/>
  <c r="D26" i="23"/>
  <c r="K26" i="23"/>
  <c r="AB114" i="2"/>
  <c r="D149" i="23" s="1"/>
  <c r="AB105" i="2"/>
  <c r="D143" i="23" s="1"/>
  <c r="D20" i="23"/>
  <c r="K20" i="23"/>
  <c r="D18" i="23"/>
  <c r="K18" i="23"/>
  <c r="D11" i="23"/>
  <c r="D82" i="23"/>
  <c r="D83" i="23"/>
  <c r="D84" i="23"/>
  <c r="D89" i="23"/>
  <c r="D90" i="23"/>
  <c r="G12" i="23"/>
  <c r="G13" i="23"/>
  <c r="G39" i="23"/>
  <c r="G14" i="23"/>
  <c r="N16" i="23"/>
  <c r="G42" i="23"/>
  <c r="G17" i="23"/>
  <c r="N17" i="23"/>
  <c r="G19" i="23"/>
  <c r="G21" i="23"/>
  <c r="N21" i="23"/>
  <c r="G51" i="23"/>
  <c r="F12" i="23"/>
  <c r="F13" i="23"/>
  <c r="F39" i="23"/>
  <c r="F14" i="23"/>
  <c r="F16" i="23"/>
  <c r="M16" i="23"/>
  <c r="F42" i="23"/>
  <c r="F17" i="23"/>
  <c r="M17" i="23"/>
  <c r="F19" i="23"/>
  <c r="F21" i="23"/>
  <c r="M21" i="23"/>
  <c r="F51" i="23"/>
  <c r="E12" i="23"/>
  <c r="G157" i="2"/>
  <c r="L12" i="23" s="1"/>
  <c r="E13" i="23"/>
  <c r="E39" i="23"/>
  <c r="E14" i="23"/>
  <c r="L14" i="23"/>
  <c r="E16" i="23"/>
  <c r="L16" i="23"/>
  <c r="E42" i="23"/>
  <c r="E19" i="23"/>
  <c r="E21" i="23"/>
  <c r="L21" i="23"/>
  <c r="E51" i="23"/>
  <c r="D12" i="23"/>
  <c r="G17" i="2"/>
  <c r="K12" i="23" s="1"/>
  <c r="D13" i="23"/>
  <c r="D39" i="23"/>
  <c r="D14" i="23"/>
  <c r="K14" i="23"/>
  <c r="D41" i="23"/>
  <c r="D16" i="23"/>
  <c r="K16" i="23"/>
  <c r="D42" i="23"/>
  <c r="D17" i="23"/>
  <c r="K17" i="23"/>
  <c r="D43" i="23"/>
  <c r="D19" i="23"/>
  <c r="D45" i="23"/>
  <c r="D46" i="23"/>
  <c r="D21" i="23"/>
  <c r="K21" i="23"/>
  <c r="D51" i="23"/>
  <c r="D52" i="23"/>
  <c r="D53" i="23"/>
  <c r="D54" i="23"/>
  <c r="D55" i="23"/>
  <c r="G8" i="2"/>
  <c r="G95" i="23"/>
  <c r="G94" i="23"/>
  <c r="G93" i="23"/>
  <c r="G92" i="23"/>
  <c r="F95" i="23"/>
  <c r="F94" i="23"/>
  <c r="F93" i="23"/>
  <c r="F92" i="23"/>
  <c r="E95" i="23"/>
  <c r="E94" i="23"/>
  <c r="E93" i="23"/>
  <c r="E92" i="23"/>
  <c r="D95" i="23"/>
  <c r="D94" i="23"/>
  <c r="D93" i="23"/>
  <c r="D92" i="23"/>
  <c r="D68" i="23"/>
  <c r="D63" i="23"/>
  <c r="G16" i="2"/>
  <c r="G15" i="2"/>
  <c r="G14" i="2"/>
  <c r="G13" i="2"/>
  <c r="G11" i="2"/>
  <c r="G10" i="2"/>
  <c r="G9" i="2"/>
  <c r="E413" i="2"/>
  <c r="E553" i="2" s="1"/>
  <c r="R42" i="2"/>
  <c r="R41" i="2" s="1"/>
  <c r="S41" i="2"/>
  <c r="AE478" i="2"/>
  <c r="U478" i="2"/>
  <c r="O478" i="2"/>
  <c r="K478" i="2"/>
  <c r="D478" i="2"/>
  <c r="AE423" i="2"/>
  <c r="U423" i="2"/>
  <c r="O423" i="2"/>
  <c r="K423" i="2"/>
  <c r="D423" i="2"/>
  <c r="AE338" i="2"/>
  <c r="U338" i="2"/>
  <c r="O338" i="2"/>
  <c r="K338" i="2"/>
  <c r="D338" i="2"/>
  <c r="AE283" i="2"/>
  <c r="U283" i="2"/>
  <c r="O283" i="2"/>
  <c r="K283" i="2"/>
  <c r="D283" i="2"/>
  <c r="AE198" i="2"/>
  <c r="U198" i="2"/>
  <c r="O198" i="2"/>
  <c r="K198" i="2"/>
  <c r="D198" i="2"/>
  <c r="AE143" i="2"/>
  <c r="U143" i="2"/>
  <c r="O143" i="2"/>
  <c r="K143" i="2"/>
  <c r="D143" i="2"/>
  <c r="AE58" i="2"/>
  <c r="U58" i="2"/>
  <c r="O58" i="2"/>
  <c r="K58" i="2"/>
  <c r="D58" i="2"/>
  <c r="R479" i="2"/>
  <c r="O479" i="2"/>
  <c r="R424" i="2"/>
  <c r="O424" i="2"/>
  <c r="R339" i="2"/>
  <c r="O339" i="2"/>
  <c r="R284" i="2"/>
  <c r="O284" i="2"/>
  <c r="R199" i="2"/>
  <c r="O199" i="2"/>
  <c r="R144" i="2"/>
  <c r="O144" i="2"/>
  <c r="R59" i="2"/>
  <c r="O59" i="2"/>
  <c r="E279" i="2"/>
  <c r="E419" i="2" s="1"/>
  <c r="E559" i="2" s="1"/>
  <c r="E278" i="2"/>
  <c r="E418" i="2" s="1"/>
  <c r="E558" i="2" s="1"/>
  <c r="E277" i="2"/>
  <c r="E417" i="2" s="1"/>
  <c r="E557" i="2" s="1"/>
  <c r="E276" i="2"/>
  <c r="E416" i="2" s="1"/>
  <c r="E556" i="2" s="1"/>
  <c r="E275" i="2"/>
  <c r="E415" i="2" s="1"/>
  <c r="E555" i="2" s="1"/>
  <c r="E274" i="2"/>
  <c r="E414" i="2" s="1"/>
  <c r="E554" i="2" s="1"/>
  <c r="U280" i="2"/>
  <c r="U420" i="2" s="1"/>
  <c r="U560" i="2" s="1"/>
  <c r="U279" i="2"/>
  <c r="U419" i="2" s="1"/>
  <c r="U559" i="2" s="1"/>
  <c r="U278" i="2"/>
  <c r="U418" i="2" s="1"/>
  <c r="U558" i="2" s="1"/>
  <c r="U277" i="2"/>
  <c r="U417" i="2" s="1"/>
  <c r="U557" i="2" s="1"/>
  <c r="U276" i="2"/>
  <c r="U416" i="2" s="1"/>
  <c r="U556" i="2" s="1"/>
  <c r="U275" i="2"/>
  <c r="U415" i="2" s="1"/>
  <c r="U555" i="2" s="1"/>
  <c r="U274" i="2"/>
  <c r="U414" i="2" s="1"/>
  <c r="U554" i="2" s="1"/>
  <c r="U273" i="2"/>
  <c r="U413" i="2" s="1"/>
  <c r="U553" i="2" s="1"/>
  <c r="U272" i="2"/>
  <c r="U412" i="2" s="1"/>
  <c r="U552" i="2" s="1"/>
  <c r="U270" i="2"/>
  <c r="U410" i="2" s="1"/>
  <c r="U550" i="2" s="1"/>
  <c r="U269" i="2"/>
  <c r="U409" i="2" s="1"/>
  <c r="U549" i="2" s="1"/>
  <c r="U268" i="2"/>
  <c r="U408" i="2" s="1"/>
  <c r="U548" i="2" s="1"/>
  <c r="U265" i="2"/>
  <c r="U405" i="2" s="1"/>
  <c r="U545" i="2" s="1"/>
  <c r="U264" i="2"/>
  <c r="U404" i="2" s="1"/>
  <c r="U544" i="2" s="1"/>
  <c r="U263" i="2"/>
  <c r="U403" i="2" s="1"/>
  <c r="U543" i="2" s="1"/>
  <c r="U262" i="2"/>
  <c r="U402" i="2" s="1"/>
  <c r="U542" i="2" s="1"/>
  <c r="U261" i="2"/>
  <c r="U401" i="2" s="1"/>
  <c r="U541" i="2" s="1"/>
  <c r="U260" i="2"/>
  <c r="U400" i="2" s="1"/>
  <c r="U540" i="2" s="1"/>
  <c r="U259" i="2"/>
  <c r="U399" i="2" s="1"/>
  <c r="U539" i="2" s="1"/>
  <c r="U258" i="2"/>
  <c r="U398" i="2" s="1"/>
  <c r="U538" i="2" s="1"/>
  <c r="U256" i="2"/>
  <c r="U396" i="2" s="1"/>
  <c r="U536" i="2" s="1"/>
  <c r="U255" i="2"/>
  <c r="U395" i="2" s="1"/>
  <c r="U535" i="2" s="1"/>
  <c r="U254" i="2"/>
  <c r="U394" i="2" s="1"/>
  <c r="U534" i="2" s="1"/>
  <c r="U252" i="2"/>
  <c r="U392" i="2" s="1"/>
  <c r="U532" i="2" s="1"/>
  <c r="U251" i="2"/>
  <c r="U391" i="2" s="1"/>
  <c r="U531" i="2" s="1"/>
  <c r="U250" i="2"/>
  <c r="U390" i="2" s="1"/>
  <c r="U530" i="2" s="1"/>
  <c r="U249" i="2"/>
  <c r="U389" i="2" s="1"/>
  <c r="U529" i="2" s="1"/>
  <c r="U248" i="2"/>
  <c r="U388" i="2" s="1"/>
  <c r="U528" i="2" s="1"/>
  <c r="U246" i="2"/>
  <c r="U386" i="2" s="1"/>
  <c r="U526" i="2" s="1"/>
  <c r="U245" i="2"/>
  <c r="U385" i="2" s="1"/>
  <c r="U525" i="2" s="1"/>
  <c r="U244" i="2"/>
  <c r="U384" i="2" s="1"/>
  <c r="U524" i="2" s="1"/>
  <c r="U243" i="2"/>
  <c r="U383" i="2" s="1"/>
  <c r="U523" i="2" s="1"/>
  <c r="U242" i="2"/>
  <c r="U382" i="2" s="1"/>
  <c r="U522" i="2" s="1"/>
  <c r="U231" i="2"/>
  <c r="U371" i="2" s="1"/>
  <c r="U511" i="2" s="1"/>
  <c r="U227" i="2"/>
  <c r="U367" i="2" s="1"/>
  <c r="U507" i="2" s="1"/>
  <c r="U229" i="2"/>
  <c r="U369" i="2" s="1"/>
  <c r="U509" i="2" s="1"/>
  <c r="U235" i="2"/>
  <c r="U375" i="2" s="1"/>
  <c r="U515" i="2" s="1"/>
  <c r="U228" i="2"/>
  <c r="U368" i="2" s="1"/>
  <c r="U508" i="2" s="1"/>
  <c r="U234" i="2"/>
  <c r="U374" i="2" s="1"/>
  <c r="U514" i="2" s="1"/>
  <c r="U241" i="2"/>
  <c r="U381" i="2" s="1"/>
  <c r="U521" i="2" s="1"/>
  <c r="U232" i="2"/>
  <c r="U372" i="2" s="1"/>
  <c r="U512" i="2" s="1"/>
  <c r="U233" i="2"/>
  <c r="U373" i="2" s="1"/>
  <c r="U513" i="2" s="1"/>
  <c r="U240" i="2"/>
  <c r="U380" i="2" s="1"/>
  <c r="U520" i="2" s="1"/>
  <c r="U239" i="2"/>
  <c r="U379" i="2" s="1"/>
  <c r="U519" i="2" s="1"/>
  <c r="U226" i="2"/>
  <c r="U366" i="2" s="1"/>
  <c r="U506" i="2" s="1"/>
  <c r="U225" i="2"/>
  <c r="U365" i="2" s="1"/>
  <c r="U505" i="2" s="1"/>
  <c r="U220" i="2"/>
  <c r="U360" i="2" s="1"/>
  <c r="U500" i="2" s="1"/>
  <c r="U219" i="2"/>
  <c r="U359" i="2" s="1"/>
  <c r="U499" i="2" s="1"/>
  <c r="U218" i="2"/>
  <c r="U358" i="2" s="1"/>
  <c r="U498" i="2" s="1"/>
  <c r="U217" i="2"/>
  <c r="U357" i="2" s="1"/>
  <c r="U497" i="2" s="1"/>
  <c r="U216" i="2"/>
  <c r="U356" i="2" s="1"/>
  <c r="U496" i="2" s="1"/>
  <c r="U215" i="2"/>
  <c r="U355" i="2" s="1"/>
  <c r="U495" i="2" s="1"/>
  <c r="U214" i="2"/>
  <c r="U354" i="2" s="1"/>
  <c r="U494" i="2" s="1"/>
  <c r="U213" i="2"/>
  <c r="U353" i="2" s="1"/>
  <c r="U493" i="2" s="1"/>
  <c r="U212" i="2"/>
  <c r="U352" i="2" s="1"/>
  <c r="U492" i="2" s="1"/>
  <c r="U208" i="2"/>
  <c r="U348" i="2" s="1"/>
  <c r="U488" i="2" s="1"/>
  <c r="U207" i="2"/>
  <c r="U347" i="2" s="1"/>
  <c r="U487" i="2" s="1"/>
  <c r="U206" i="2"/>
  <c r="U346" i="2" s="1"/>
  <c r="U486" i="2" s="1"/>
  <c r="U205" i="2"/>
  <c r="U345" i="2" s="1"/>
  <c r="U485" i="2" s="1"/>
  <c r="U204" i="2"/>
  <c r="U344" i="2" s="1"/>
  <c r="U484" i="2" s="1"/>
  <c r="U203" i="2"/>
  <c r="U343" i="2" s="1"/>
  <c r="U483" i="2" s="1"/>
  <c r="U202" i="2"/>
  <c r="U342" i="2" s="1"/>
  <c r="U482" i="2" s="1"/>
  <c r="U201" i="2"/>
  <c r="U341" i="2" s="1"/>
  <c r="U481" i="2" s="1"/>
  <c r="U195" i="2"/>
  <c r="U335" i="2" s="1"/>
  <c r="U475" i="2" s="1"/>
  <c r="U193" i="2"/>
  <c r="U333" i="2" s="1"/>
  <c r="U473" i="2" s="1"/>
  <c r="U192" i="2"/>
  <c r="U332" i="2" s="1"/>
  <c r="U472" i="2" s="1"/>
  <c r="U191" i="2"/>
  <c r="U331" i="2" s="1"/>
  <c r="U471" i="2" s="1"/>
  <c r="U189" i="2"/>
  <c r="U329" i="2" s="1"/>
  <c r="U469" i="2" s="1"/>
  <c r="U188" i="2"/>
  <c r="U328" i="2" s="1"/>
  <c r="U468" i="2" s="1"/>
  <c r="U187" i="2"/>
  <c r="U327" i="2" s="1"/>
  <c r="U467" i="2" s="1"/>
  <c r="U186" i="2"/>
  <c r="U326" i="2" s="1"/>
  <c r="U466" i="2" s="1"/>
  <c r="U180" i="2"/>
  <c r="U320" i="2" s="1"/>
  <c r="U460" i="2" s="1"/>
  <c r="U176" i="2"/>
  <c r="U316" i="2" s="1"/>
  <c r="U456" i="2" s="1"/>
  <c r="U175" i="2"/>
  <c r="U315" i="2" s="1"/>
  <c r="U455" i="2" s="1"/>
  <c r="U174" i="2"/>
  <c r="U314" i="2" s="1"/>
  <c r="U454" i="2" s="1"/>
  <c r="U173" i="2"/>
  <c r="U313" i="2" s="1"/>
  <c r="U453" i="2" s="1"/>
  <c r="U172" i="2"/>
  <c r="U312" i="2" s="1"/>
  <c r="U452" i="2" s="1"/>
  <c r="U171" i="2"/>
  <c r="U311" i="2" s="1"/>
  <c r="U451" i="2" s="1"/>
  <c r="U170" i="2"/>
  <c r="U310" i="2" s="1"/>
  <c r="U450" i="2" s="1"/>
  <c r="U169" i="2"/>
  <c r="U309" i="2" s="1"/>
  <c r="U449" i="2" s="1"/>
  <c r="U167" i="2"/>
  <c r="U307" i="2" s="1"/>
  <c r="U447" i="2" s="1"/>
  <c r="U166" i="2"/>
  <c r="U306" i="2" s="1"/>
  <c r="U446" i="2" s="1"/>
  <c r="U165" i="2"/>
  <c r="U305" i="2" s="1"/>
  <c r="U445" i="2" s="1"/>
  <c r="U164" i="2"/>
  <c r="U304" i="2" s="1"/>
  <c r="U444" i="2" s="1"/>
  <c r="U163" i="2"/>
  <c r="U303" i="2" s="1"/>
  <c r="U443" i="2" s="1"/>
  <c r="U152" i="2"/>
  <c r="U292" i="2" s="1"/>
  <c r="U432" i="2" s="1"/>
  <c r="U148" i="2"/>
  <c r="U288" i="2" s="1"/>
  <c r="U428" i="2" s="1"/>
  <c r="U150" i="2"/>
  <c r="U290" i="2" s="1"/>
  <c r="U430" i="2" s="1"/>
  <c r="U156" i="2"/>
  <c r="U296" i="2" s="1"/>
  <c r="U436" i="2" s="1"/>
  <c r="U149" i="2"/>
  <c r="U289" i="2" s="1"/>
  <c r="U429" i="2" s="1"/>
  <c r="U155" i="2"/>
  <c r="U295" i="2" s="1"/>
  <c r="U435" i="2" s="1"/>
  <c r="U162" i="2"/>
  <c r="U302" i="2" s="1"/>
  <c r="U442" i="2" s="1"/>
  <c r="U153" i="2"/>
  <c r="U293" i="2" s="1"/>
  <c r="U433" i="2" s="1"/>
  <c r="U154" i="2"/>
  <c r="U294" i="2" s="1"/>
  <c r="U434" i="2" s="1"/>
  <c r="U161" i="2"/>
  <c r="U301" i="2" s="1"/>
  <c r="U441" i="2" s="1"/>
  <c r="U160" i="2"/>
  <c r="U300" i="2" s="1"/>
  <c r="U440" i="2" s="1"/>
  <c r="U147" i="2"/>
  <c r="U287" i="2" s="1"/>
  <c r="U427" i="2" s="1"/>
  <c r="U146" i="2"/>
  <c r="U286" i="2" s="1"/>
  <c r="U426" i="2" s="1"/>
  <c r="AQ480" i="2"/>
  <c r="AP480" i="2"/>
  <c r="AO480" i="2"/>
  <c r="AN480" i="2"/>
  <c r="AM480" i="2"/>
  <c r="AL480" i="2"/>
  <c r="AJ480" i="2"/>
  <c r="AH480" i="2"/>
  <c r="AG480" i="2"/>
  <c r="AF480" i="2"/>
  <c r="AE480" i="2"/>
  <c r="AD480" i="2"/>
  <c r="X480" i="2"/>
  <c r="Y480" i="2"/>
  <c r="AC480" i="2"/>
  <c r="AB480" i="2"/>
  <c r="AA480" i="2"/>
  <c r="Z480" i="2"/>
  <c r="W480" i="2"/>
  <c r="S480" i="2"/>
  <c r="R480" i="2"/>
  <c r="Q480" i="2"/>
  <c r="P480" i="2"/>
  <c r="O480" i="2"/>
  <c r="J480" i="2"/>
  <c r="I480" i="2"/>
  <c r="H480" i="2"/>
  <c r="G480" i="2"/>
  <c r="F480" i="2"/>
  <c r="N480" i="2"/>
  <c r="M480" i="2"/>
  <c r="L480" i="2"/>
  <c r="K480" i="2"/>
  <c r="E480" i="2"/>
  <c r="D480" i="2"/>
  <c r="AQ425" i="2"/>
  <c r="AP425" i="2"/>
  <c r="AO425" i="2"/>
  <c r="AN425" i="2"/>
  <c r="AM425" i="2"/>
  <c r="AL425" i="2"/>
  <c r="AJ425" i="2"/>
  <c r="AH425" i="2"/>
  <c r="AG425" i="2"/>
  <c r="AF425" i="2"/>
  <c r="AE425" i="2"/>
  <c r="AQ340" i="2"/>
  <c r="AP340" i="2"/>
  <c r="AO340" i="2"/>
  <c r="AN340" i="2"/>
  <c r="AM340" i="2"/>
  <c r="AL340" i="2"/>
  <c r="AJ340" i="2"/>
  <c r="AH340" i="2"/>
  <c r="AG340" i="2"/>
  <c r="AF340" i="2"/>
  <c r="AE340" i="2"/>
  <c r="AD340" i="2"/>
  <c r="X340" i="2"/>
  <c r="Y340" i="2"/>
  <c r="AC340" i="2"/>
  <c r="AB340" i="2"/>
  <c r="AA340" i="2"/>
  <c r="Z340" i="2"/>
  <c r="W340" i="2"/>
  <c r="S340" i="2"/>
  <c r="R340" i="2"/>
  <c r="Q340" i="2"/>
  <c r="P340" i="2"/>
  <c r="O340" i="2"/>
  <c r="J340" i="2"/>
  <c r="I340" i="2"/>
  <c r="H340" i="2"/>
  <c r="G340" i="2"/>
  <c r="F340" i="2"/>
  <c r="N340" i="2"/>
  <c r="M340" i="2"/>
  <c r="L340" i="2"/>
  <c r="K340" i="2"/>
  <c r="E340" i="2"/>
  <c r="D340" i="2"/>
  <c r="E200" i="2"/>
  <c r="K200" i="2"/>
  <c r="L200" i="2"/>
  <c r="M200" i="2"/>
  <c r="N200" i="2"/>
  <c r="F200" i="2"/>
  <c r="G200" i="2"/>
  <c r="H200" i="2"/>
  <c r="I200" i="2"/>
  <c r="J200" i="2"/>
  <c r="O200" i="2"/>
  <c r="P200" i="2"/>
  <c r="Q200" i="2"/>
  <c r="R200" i="2"/>
  <c r="S200" i="2"/>
  <c r="W200" i="2"/>
  <c r="Z200" i="2"/>
  <c r="AA200" i="2"/>
  <c r="AB200" i="2"/>
  <c r="AC200" i="2"/>
  <c r="Y200" i="2"/>
  <c r="X200" i="2"/>
  <c r="AD200" i="2"/>
  <c r="AE200" i="2"/>
  <c r="AF200" i="2"/>
  <c r="AG200" i="2"/>
  <c r="AH200" i="2"/>
  <c r="AJ200" i="2"/>
  <c r="AL200" i="2"/>
  <c r="AM200" i="2"/>
  <c r="AN200" i="2"/>
  <c r="AO200" i="2"/>
  <c r="AP200" i="2"/>
  <c r="AQ200" i="2"/>
  <c r="D200" i="2"/>
  <c r="AQ285" i="2"/>
  <c r="AP285" i="2"/>
  <c r="AO285" i="2"/>
  <c r="AN285" i="2"/>
  <c r="AM285" i="2"/>
  <c r="AL285" i="2"/>
  <c r="AJ285" i="2"/>
  <c r="AH285" i="2"/>
  <c r="AG285" i="2"/>
  <c r="AF285" i="2"/>
  <c r="AE285" i="2"/>
  <c r="AD285" i="2"/>
  <c r="X285" i="2"/>
  <c r="Y285" i="2"/>
  <c r="AC285" i="2"/>
  <c r="AB285" i="2"/>
  <c r="AA285" i="2"/>
  <c r="Z285" i="2"/>
  <c r="W285" i="2"/>
  <c r="S285" i="2"/>
  <c r="R285" i="2"/>
  <c r="Q285" i="2"/>
  <c r="P285" i="2"/>
  <c r="O285" i="2"/>
  <c r="J285" i="2"/>
  <c r="I285" i="2"/>
  <c r="H285" i="2"/>
  <c r="G285" i="2"/>
  <c r="F285" i="2"/>
  <c r="N285" i="2"/>
  <c r="M285" i="2"/>
  <c r="L285" i="2"/>
  <c r="K285" i="2"/>
  <c r="E285" i="2"/>
  <c r="D285" i="2"/>
  <c r="E145" i="2"/>
  <c r="K145" i="2"/>
  <c r="L145" i="2"/>
  <c r="M145" i="2"/>
  <c r="N145" i="2"/>
  <c r="F145" i="2"/>
  <c r="G145" i="2"/>
  <c r="H145" i="2"/>
  <c r="I145" i="2"/>
  <c r="J145" i="2"/>
  <c r="O145" i="2"/>
  <c r="P145" i="2"/>
  <c r="Q145" i="2"/>
  <c r="R145" i="2"/>
  <c r="S145" i="2"/>
  <c r="W145" i="2"/>
  <c r="Z145" i="2"/>
  <c r="AA145" i="2"/>
  <c r="AB145" i="2"/>
  <c r="AC145" i="2"/>
  <c r="Y145" i="2"/>
  <c r="X145" i="2"/>
  <c r="AD145" i="2"/>
  <c r="AE145" i="2"/>
  <c r="AF145" i="2"/>
  <c r="AG145" i="2"/>
  <c r="AH145" i="2"/>
  <c r="AJ145" i="2"/>
  <c r="AL145" i="2"/>
  <c r="AM145" i="2"/>
  <c r="AN145" i="2"/>
  <c r="AO145" i="2"/>
  <c r="AP145" i="2"/>
  <c r="AQ145" i="2"/>
  <c r="D145" i="2"/>
  <c r="AR479" i="2"/>
  <c r="AQ479" i="2"/>
  <c r="AP479" i="2"/>
  <c r="AO479" i="2"/>
  <c r="AN479" i="2"/>
  <c r="AM479" i="2"/>
  <c r="AL479" i="2"/>
  <c r="AJ479" i="2"/>
  <c r="AH479" i="2"/>
  <c r="AG479" i="2"/>
  <c r="AF479" i="2"/>
  <c r="AE479" i="2"/>
  <c r="AD479" i="2"/>
  <c r="X479" i="2"/>
  <c r="Y479" i="2"/>
  <c r="AC479" i="2"/>
  <c r="Z479" i="2"/>
  <c r="W479" i="2"/>
  <c r="U479" i="2"/>
  <c r="T479" i="2"/>
  <c r="I479" i="2"/>
  <c r="G479" i="2"/>
  <c r="F479" i="2"/>
  <c r="M479" i="2"/>
  <c r="D479" i="2"/>
  <c r="AR424" i="2"/>
  <c r="AQ424" i="2"/>
  <c r="AP424" i="2"/>
  <c r="AO424" i="2"/>
  <c r="AN424" i="2"/>
  <c r="AM424" i="2"/>
  <c r="AL424" i="2"/>
  <c r="AJ424" i="2"/>
  <c r="AH424" i="2"/>
  <c r="AG424" i="2"/>
  <c r="AF424" i="2"/>
  <c r="AE424" i="2"/>
  <c r="AD424" i="2"/>
  <c r="X424" i="2"/>
  <c r="Y424" i="2"/>
  <c r="AC424" i="2"/>
  <c r="Z424" i="2"/>
  <c r="W424" i="2"/>
  <c r="U424" i="2"/>
  <c r="T424" i="2"/>
  <c r="I424" i="2"/>
  <c r="G424" i="2"/>
  <c r="F424" i="2"/>
  <c r="M424" i="2"/>
  <c r="D424" i="2"/>
  <c r="AR339" i="2"/>
  <c r="AQ339" i="2"/>
  <c r="AP339" i="2"/>
  <c r="AO339" i="2"/>
  <c r="AN339" i="2"/>
  <c r="AM339" i="2"/>
  <c r="AL339" i="2"/>
  <c r="AJ339" i="2"/>
  <c r="AH339" i="2"/>
  <c r="AG339" i="2"/>
  <c r="AF339" i="2"/>
  <c r="AE339" i="2"/>
  <c r="AD339" i="2"/>
  <c r="X339" i="2"/>
  <c r="Y339" i="2"/>
  <c r="AC339" i="2"/>
  <c r="Z339" i="2"/>
  <c r="W339" i="2"/>
  <c r="U339" i="2"/>
  <c r="T339" i="2"/>
  <c r="I339" i="2"/>
  <c r="G339" i="2"/>
  <c r="F339" i="2"/>
  <c r="M339" i="2"/>
  <c r="D339" i="2"/>
  <c r="AR284" i="2"/>
  <c r="AQ284" i="2"/>
  <c r="AP284" i="2"/>
  <c r="AO284" i="2"/>
  <c r="AN284" i="2"/>
  <c r="AM284" i="2"/>
  <c r="AL284" i="2"/>
  <c r="AJ284" i="2"/>
  <c r="AH284" i="2"/>
  <c r="AG284" i="2"/>
  <c r="AF284" i="2"/>
  <c r="AE284" i="2"/>
  <c r="AD284" i="2"/>
  <c r="X284" i="2"/>
  <c r="Y284" i="2"/>
  <c r="AC284" i="2"/>
  <c r="Z284" i="2"/>
  <c r="W284" i="2"/>
  <c r="U284" i="2"/>
  <c r="T284" i="2"/>
  <c r="I284" i="2"/>
  <c r="G284" i="2"/>
  <c r="F284" i="2"/>
  <c r="M284" i="2"/>
  <c r="D284" i="2"/>
  <c r="AR199" i="2"/>
  <c r="AQ199" i="2"/>
  <c r="AP199" i="2"/>
  <c r="AO199" i="2"/>
  <c r="AN199" i="2"/>
  <c r="AM199" i="2"/>
  <c r="AL199" i="2"/>
  <c r="AJ199" i="2"/>
  <c r="AH199" i="2"/>
  <c r="AG199" i="2"/>
  <c r="AF199" i="2"/>
  <c r="AE199" i="2"/>
  <c r="AD199" i="2"/>
  <c r="X199" i="2"/>
  <c r="Y199" i="2"/>
  <c r="AC199" i="2"/>
  <c r="Z199" i="2"/>
  <c r="W199" i="2"/>
  <c r="U199" i="2"/>
  <c r="T199" i="2"/>
  <c r="I199" i="2"/>
  <c r="G199" i="2"/>
  <c r="F199" i="2"/>
  <c r="M199" i="2"/>
  <c r="D199" i="2"/>
  <c r="AR144" i="2"/>
  <c r="AQ144" i="2"/>
  <c r="AP144" i="2"/>
  <c r="AO144" i="2"/>
  <c r="AN144" i="2"/>
  <c r="AM144" i="2"/>
  <c r="AL144" i="2"/>
  <c r="AH144" i="2"/>
  <c r="AG144" i="2"/>
  <c r="AF144" i="2"/>
  <c r="AE144" i="2"/>
  <c r="AD144" i="2"/>
  <c r="X144" i="2"/>
  <c r="Y144" i="2"/>
  <c r="AC144" i="2"/>
  <c r="Z144" i="2"/>
  <c r="W144" i="2"/>
  <c r="U144" i="2"/>
  <c r="T144" i="2"/>
  <c r="I144" i="2"/>
  <c r="G144" i="2"/>
  <c r="F144" i="2"/>
  <c r="M144" i="2"/>
  <c r="D144" i="2"/>
  <c r="AR59" i="2"/>
  <c r="AQ59" i="2"/>
  <c r="AP59" i="2"/>
  <c r="AO59" i="2"/>
  <c r="AN59" i="2"/>
  <c r="AM59" i="2"/>
  <c r="AL59" i="2"/>
  <c r="AJ59" i="2"/>
  <c r="BV63" i="2" s="1"/>
  <c r="CD63" i="2" s="1"/>
  <c r="AH59" i="2"/>
  <c r="AG59" i="2"/>
  <c r="BU63" i="2" s="1"/>
  <c r="CC63" i="2" s="1"/>
  <c r="AF59" i="2"/>
  <c r="BT63" i="2" s="1"/>
  <c r="CB63" i="2" s="1"/>
  <c r="AE59" i="2"/>
  <c r="BS63" i="2" s="1"/>
  <c r="CA63" i="2" s="1"/>
  <c r="AD59" i="2"/>
  <c r="X59" i="2"/>
  <c r="Y59" i="2"/>
  <c r="AC59" i="2"/>
  <c r="Z59" i="2"/>
  <c r="W59" i="2"/>
  <c r="U59" i="2"/>
  <c r="T59" i="2"/>
  <c r="I59" i="2"/>
  <c r="G59" i="2"/>
  <c r="F59" i="2"/>
  <c r="M59" i="2"/>
  <c r="D59" i="2"/>
  <c r="C281" i="2"/>
  <c r="C421" i="2" s="1"/>
  <c r="C561" i="2" s="1"/>
  <c r="C279" i="2"/>
  <c r="C419" i="2" s="1"/>
  <c r="C559" i="2" s="1"/>
  <c r="C278" i="2"/>
  <c r="C418" i="2" s="1"/>
  <c r="C558" i="2" s="1"/>
  <c r="C277" i="2"/>
  <c r="C417" i="2" s="1"/>
  <c r="C557" i="2" s="1"/>
  <c r="C276" i="2"/>
  <c r="C416" i="2" s="1"/>
  <c r="C556" i="2" s="1"/>
  <c r="C275" i="2"/>
  <c r="C415" i="2" s="1"/>
  <c r="C555" i="2" s="1"/>
  <c r="C274" i="2"/>
  <c r="C414" i="2" s="1"/>
  <c r="C554" i="2" s="1"/>
  <c r="C273" i="2"/>
  <c r="C413" i="2" s="1"/>
  <c r="C553" i="2" s="1"/>
  <c r="C268" i="2"/>
  <c r="C408" i="2" s="1"/>
  <c r="C548" i="2" s="1"/>
  <c r="C263" i="2"/>
  <c r="C403" i="2" s="1"/>
  <c r="C543" i="2" s="1"/>
  <c r="C259" i="2"/>
  <c r="C399" i="2" s="1"/>
  <c r="C539" i="2" s="1"/>
  <c r="C255" i="2"/>
  <c r="C395" i="2" s="1"/>
  <c r="C535" i="2" s="1"/>
  <c r="C249" i="2"/>
  <c r="C389" i="2" s="1"/>
  <c r="C529" i="2" s="1"/>
  <c r="C245" i="2"/>
  <c r="C385" i="2" s="1"/>
  <c r="C525" i="2" s="1"/>
  <c r="C244" i="2"/>
  <c r="C384" i="2" s="1"/>
  <c r="C524" i="2" s="1"/>
  <c r="C243" i="2"/>
  <c r="C383" i="2" s="1"/>
  <c r="C523" i="2" s="1"/>
  <c r="B82" i="5" s="1"/>
  <c r="C227" i="2"/>
  <c r="C367" i="2" s="1"/>
  <c r="C507" i="2" s="1"/>
  <c r="C226" i="2"/>
  <c r="C366" i="2" s="1"/>
  <c r="C506" i="2" s="1"/>
  <c r="C225" i="2"/>
  <c r="C365" i="2" s="1"/>
  <c r="C505" i="2" s="1"/>
  <c r="C216" i="2"/>
  <c r="C356" i="2" s="1"/>
  <c r="C496" i="2" s="1"/>
  <c r="C215" i="2"/>
  <c r="C355" i="2" s="1"/>
  <c r="C495" i="2" s="1"/>
  <c r="C214" i="2"/>
  <c r="C354" i="2" s="1"/>
  <c r="C494" i="2" s="1"/>
  <c r="C213" i="2"/>
  <c r="C353" i="2" s="1"/>
  <c r="C493" i="2" s="1"/>
  <c r="C204" i="2"/>
  <c r="C344" i="2" s="1"/>
  <c r="C484" i="2" s="1"/>
  <c r="C203" i="2"/>
  <c r="C343" i="2" s="1"/>
  <c r="C483" i="2" s="1"/>
  <c r="C202" i="2"/>
  <c r="C342" i="2" s="1"/>
  <c r="C482" i="2" s="1"/>
  <c r="C201" i="2"/>
  <c r="C341" i="2" s="1"/>
  <c r="C481" i="2" s="1"/>
  <c r="C199" i="2"/>
  <c r="C339" i="2" s="1"/>
  <c r="C479" i="2" s="1"/>
  <c r="C196" i="2"/>
  <c r="C336" i="2" s="1"/>
  <c r="C476" i="2" s="1"/>
  <c r="C193" i="2"/>
  <c r="C333" i="2" s="1"/>
  <c r="C473" i="2" s="1"/>
  <c r="C192" i="2"/>
  <c r="C332" i="2" s="1"/>
  <c r="C472" i="2" s="1"/>
  <c r="C191" i="2"/>
  <c r="C331" i="2" s="1"/>
  <c r="C471" i="2" s="1"/>
  <c r="C190" i="2"/>
  <c r="C330" i="2" s="1"/>
  <c r="C470" i="2" s="1"/>
  <c r="C189" i="2"/>
  <c r="C329" i="2" s="1"/>
  <c r="C469" i="2" s="1"/>
  <c r="C188" i="2"/>
  <c r="C328" i="2" s="1"/>
  <c r="C468" i="2" s="1"/>
  <c r="C187" i="2"/>
  <c r="C327" i="2" s="1"/>
  <c r="C467" i="2" s="1"/>
  <c r="C186" i="2"/>
  <c r="C326" i="2" s="1"/>
  <c r="C466" i="2" s="1"/>
  <c r="C185" i="2"/>
  <c r="C325" i="2" s="1"/>
  <c r="C465" i="2" s="1"/>
  <c r="C184" i="2"/>
  <c r="C324" i="2" s="1"/>
  <c r="C464" i="2" s="1"/>
  <c r="C183" i="2"/>
  <c r="C323" i="2" s="1"/>
  <c r="C463" i="2" s="1"/>
  <c r="C182" i="2"/>
  <c r="C322" i="2" s="1"/>
  <c r="C462" i="2" s="1"/>
  <c r="C181" i="2"/>
  <c r="C321" i="2" s="1"/>
  <c r="C461" i="2" s="1"/>
  <c r="C176" i="2"/>
  <c r="C316" i="2" s="1"/>
  <c r="C456" i="2" s="1"/>
  <c r="C175" i="2"/>
  <c r="C315" i="2" s="1"/>
  <c r="C455" i="2" s="1"/>
  <c r="C174" i="2"/>
  <c r="C314" i="2" s="1"/>
  <c r="C454" i="2" s="1"/>
  <c r="C173" i="2"/>
  <c r="C313" i="2" s="1"/>
  <c r="C453" i="2" s="1"/>
  <c r="C172" i="2"/>
  <c r="C312" i="2" s="1"/>
  <c r="C452" i="2" s="1"/>
  <c r="C171" i="2"/>
  <c r="C311" i="2" s="1"/>
  <c r="C451" i="2" s="1"/>
  <c r="C170" i="2"/>
  <c r="C310" i="2" s="1"/>
  <c r="C450" i="2" s="1"/>
  <c r="C168" i="2"/>
  <c r="C308" i="2" s="1"/>
  <c r="C448" i="2" s="1"/>
  <c r="C167" i="2"/>
  <c r="C307" i="2" s="1"/>
  <c r="C447" i="2" s="1"/>
  <c r="C166" i="2"/>
  <c r="C306" i="2" s="1"/>
  <c r="C446" i="2" s="1"/>
  <c r="C165" i="2"/>
  <c r="C305" i="2" s="1"/>
  <c r="C445" i="2" s="1"/>
  <c r="C164" i="2"/>
  <c r="C304" i="2" s="1"/>
  <c r="C444" i="2" s="1"/>
  <c r="C157" i="2"/>
  <c r="C297" i="2" s="1"/>
  <c r="C437" i="2" s="1"/>
  <c r="C156" i="2"/>
  <c r="C296" i="2" s="1"/>
  <c r="C436" i="2" s="1"/>
  <c r="C155" i="2"/>
  <c r="C295" i="2" s="1"/>
  <c r="C435" i="2" s="1"/>
  <c r="C154" i="2"/>
  <c r="C294" i="2" s="1"/>
  <c r="C434" i="2" s="1"/>
  <c r="C153" i="2"/>
  <c r="C293" i="2" s="1"/>
  <c r="C433" i="2" s="1"/>
  <c r="C152" i="2"/>
  <c r="C292" i="2" s="1"/>
  <c r="C432" i="2" s="1"/>
  <c r="C151" i="2"/>
  <c r="C291" i="2" s="1"/>
  <c r="C431" i="2" s="1"/>
  <c r="C150" i="2"/>
  <c r="C290" i="2" s="1"/>
  <c r="C430" i="2" s="1"/>
  <c r="C149" i="2"/>
  <c r="C289" i="2" s="1"/>
  <c r="C429" i="2" s="1"/>
  <c r="C148" i="2"/>
  <c r="C288" i="2" s="1"/>
  <c r="C428" i="2" s="1"/>
  <c r="C147" i="2"/>
  <c r="C287" i="2" s="1"/>
  <c r="C427" i="2" s="1"/>
  <c r="C146" i="2"/>
  <c r="C286" i="2" s="1"/>
  <c r="C426" i="2" s="1"/>
  <c r="C144" i="2"/>
  <c r="C284" i="2" s="1"/>
  <c r="C424" i="2" s="1"/>
  <c r="I6" i="21"/>
  <c r="Q6" i="21" s="1"/>
  <c r="H6" i="21"/>
  <c r="P6" i="21" s="1"/>
  <c r="G6" i="21"/>
  <c r="O6" i="21" s="1"/>
  <c r="F6" i="21"/>
  <c r="N6" i="21" s="1"/>
  <c r="E6" i="21"/>
  <c r="M6" i="21" s="1"/>
  <c r="AD9" i="21"/>
  <c r="AE10" i="21"/>
  <c r="AF10" i="21"/>
  <c r="AG10" i="21"/>
  <c r="D20" i="21"/>
  <c r="D17" i="21"/>
  <c r="D7" i="21"/>
  <c r="D6" i="21"/>
  <c r="BA11" i="2"/>
  <c r="BV12" i="2" s="1"/>
  <c r="D8" i="21"/>
  <c r="D9" i="21"/>
  <c r="D10" i="21"/>
  <c r="D16" i="21"/>
  <c r="D12" i="21"/>
  <c r="D11" i="21"/>
  <c r="D15" i="21"/>
  <c r="E165" i="5"/>
  <c r="F165" i="5" s="1"/>
  <c r="G165" i="5" s="1"/>
  <c r="H165" i="5" s="1"/>
  <c r="E146" i="5"/>
  <c r="F146" i="5" s="1"/>
  <c r="G146" i="5" s="1"/>
  <c r="H146" i="5" s="1"/>
  <c r="E124" i="5"/>
  <c r="F124" i="5" s="1"/>
  <c r="G124" i="5" s="1"/>
  <c r="H124" i="5" s="1"/>
  <c r="B161" i="5"/>
  <c r="B160" i="5"/>
  <c r="B159" i="5"/>
  <c r="B158" i="5"/>
  <c r="B155" i="5"/>
  <c r="B154" i="5"/>
  <c r="B131" i="5"/>
  <c r="B153" i="5"/>
  <c r="B152" i="5"/>
  <c r="B151" i="5"/>
  <c r="B148" i="5"/>
  <c r="B147" i="5"/>
  <c r="I41" i="2"/>
  <c r="C85" i="5" s="1"/>
  <c r="C84" i="5" s="1"/>
  <c r="B78" i="5"/>
  <c r="B77" i="5"/>
  <c r="B85" i="5"/>
  <c r="G182" i="2"/>
  <c r="F182" i="2"/>
  <c r="G183" i="2"/>
  <c r="F183" i="2"/>
  <c r="G184" i="2"/>
  <c r="F184" i="2"/>
  <c r="G185" i="2"/>
  <c r="F185" i="2"/>
  <c r="B81" i="5"/>
  <c r="B76" i="5"/>
  <c r="B75" i="5"/>
  <c r="D46" i="2"/>
  <c r="O11" i="5"/>
  <c r="O17" i="5"/>
  <c r="R38" i="5"/>
  <c r="BA10" i="2"/>
  <c r="BV10" i="2" s="1"/>
  <c r="BA9" i="2"/>
  <c r="BV6" i="2" s="1"/>
  <c r="BA8" i="2"/>
  <c r="BV11" i="2" s="1"/>
  <c r="BA7" i="2"/>
  <c r="BV7" i="2" s="1"/>
  <c r="BA6" i="2"/>
  <c r="BV8" i="2" s="1"/>
  <c r="D65" i="5"/>
  <c r="AK24" i="5" s="1"/>
  <c r="AM24" i="5" s="1"/>
  <c r="D64" i="5"/>
  <c r="AK23" i="5" s="1"/>
  <c r="D62" i="5"/>
  <c r="AK21" i="5" s="1"/>
  <c r="AM21" i="5" s="1"/>
  <c r="D61" i="5"/>
  <c r="AK20" i="5" s="1"/>
  <c r="AM20" i="5" s="1"/>
  <c r="H61" i="5"/>
  <c r="O60" i="5"/>
  <c r="L60" i="5"/>
  <c r="H60" i="5"/>
  <c r="D60" i="5"/>
  <c r="O59" i="5"/>
  <c r="L59" i="5"/>
  <c r="H59" i="5"/>
  <c r="D59" i="5"/>
  <c r="O57" i="5"/>
  <c r="L57" i="5"/>
  <c r="H57" i="5"/>
  <c r="D57" i="5"/>
  <c r="O56" i="5"/>
  <c r="L56" i="5"/>
  <c r="H56" i="5"/>
  <c r="D56" i="5"/>
  <c r="O54" i="5"/>
  <c r="L54" i="5"/>
  <c r="H54" i="5"/>
  <c r="D54" i="5"/>
  <c r="O53" i="5"/>
  <c r="L53" i="5"/>
  <c r="H53" i="5"/>
  <c r="D53" i="5"/>
  <c r="O52" i="5"/>
  <c r="L52" i="5"/>
  <c r="H52" i="5"/>
  <c r="D52" i="5"/>
  <c r="O50" i="5"/>
  <c r="O49" i="5"/>
  <c r="O27" i="5"/>
  <c r="R390" i="2"/>
  <c r="B340" i="2"/>
  <c r="S327" i="2"/>
  <c r="S328" i="2"/>
  <c r="K324" i="2"/>
  <c r="BN33" i="2" s="1"/>
  <c r="BO33" i="2" s="1"/>
  <c r="AA292" i="2"/>
  <c r="W292" i="2"/>
  <c r="W288" i="2"/>
  <c r="AA302" i="2"/>
  <c r="AA293" i="2"/>
  <c r="G291" i="2"/>
  <c r="G290" i="2"/>
  <c r="R250" i="2"/>
  <c r="S187" i="2"/>
  <c r="S188" i="2"/>
  <c r="K181" i="2"/>
  <c r="Q186" i="2"/>
  <c r="K185" i="2"/>
  <c r="BM34" i="2" s="1"/>
  <c r="K184" i="2"/>
  <c r="BM33" i="2" s="1"/>
  <c r="K183" i="2"/>
  <c r="BM32" i="2" s="1"/>
  <c r="S181" i="2"/>
  <c r="K182" i="2"/>
  <c r="BM31" i="2" s="1"/>
  <c r="R129" i="2"/>
  <c r="R110" i="2"/>
  <c r="R111" i="2"/>
  <c r="S111" i="2" s="1"/>
  <c r="R120" i="2"/>
  <c r="S120" i="2" s="1"/>
  <c r="S119" i="2" s="1"/>
  <c r="R124" i="2"/>
  <c r="S124" i="2" s="1"/>
  <c r="S123" i="2" s="1"/>
  <c r="W8" i="2"/>
  <c r="O42" i="5"/>
  <c r="D42" i="5"/>
  <c r="H42" i="5"/>
  <c r="L42" i="5"/>
  <c r="W432" i="2"/>
  <c r="W428" i="2"/>
  <c r="W12" i="2"/>
  <c r="AA432" i="2"/>
  <c r="AA442" i="2"/>
  <c r="AA433" i="2"/>
  <c r="AA22" i="2"/>
  <c r="AA13" i="2"/>
  <c r="B200" i="2"/>
  <c r="B60" i="2"/>
  <c r="G151" i="2"/>
  <c r="G150" i="2"/>
  <c r="G149" i="2"/>
  <c r="G148" i="2"/>
  <c r="K325" i="2"/>
  <c r="BN34" i="2" s="1"/>
  <c r="BO34" i="2" s="1"/>
  <c r="K323" i="2"/>
  <c r="BN32" i="2" s="1"/>
  <c r="K322" i="2"/>
  <c r="BN31" i="2" s="1"/>
  <c r="BO31" i="2" s="1"/>
  <c r="K321" i="2"/>
  <c r="AA12" i="2"/>
  <c r="O48" i="5"/>
  <c r="O62" i="5"/>
  <c r="L48" i="5"/>
  <c r="L49" i="5"/>
  <c r="L50" i="5"/>
  <c r="L62" i="5"/>
  <c r="H48" i="5"/>
  <c r="H49" i="5"/>
  <c r="H50" i="5"/>
  <c r="H62" i="5"/>
  <c r="H63" i="5"/>
  <c r="H64" i="5"/>
  <c r="H65" i="5"/>
  <c r="D48" i="5"/>
  <c r="D49" i="5"/>
  <c r="D50" i="5"/>
  <c r="H41" i="5"/>
  <c r="D41" i="5"/>
  <c r="D29" i="5"/>
  <c r="D31" i="5"/>
  <c r="D32" i="5"/>
  <c r="D33" i="5"/>
  <c r="D34" i="5"/>
  <c r="D39" i="5"/>
  <c r="H29" i="5"/>
  <c r="H31" i="5"/>
  <c r="H32" i="5"/>
  <c r="H33" i="5"/>
  <c r="H34" i="5"/>
  <c r="H20" i="5"/>
  <c r="H21" i="5"/>
  <c r="H22" i="5"/>
  <c r="D20" i="5"/>
  <c r="D21" i="5"/>
  <c r="D22" i="5"/>
  <c r="L20" i="5"/>
  <c r="L22" i="5"/>
  <c r="L32" i="5"/>
  <c r="L34" i="5"/>
  <c r="L39" i="5"/>
  <c r="L21" i="5"/>
  <c r="L29" i="5"/>
  <c r="L31" i="5"/>
  <c r="L33" i="5"/>
  <c r="L41" i="5"/>
  <c r="O41" i="5"/>
  <c r="O25" i="5"/>
  <c r="O26" i="5"/>
  <c r="O28" i="5"/>
  <c r="O29" i="5"/>
  <c r="O31" i="5"/>
  <c r="O32" i="5"/>
  <c r="O33" i="5"/>
  <c r="O34" i="5"/>
  <c r="O16" i="5"/>
  <c r="O20" i="5"/>
  <c r="O21" i="5"/>
  <c r="O22" i="5"/>
  <c r="S331" i="2"/>
  <c r="Q326" i="2"/>
  <c r="S321" i="2"/>
  <c r="G289" i="2"/>
  <c r="G288" i="2"/>
  <c r="S191" i="2"/>
  <c r="S51" i="2"/>
  <c r="S48" i="2"/>
  <c r="S47" i="2"/>
  <c r="R47" i="2" s="1"/>
  <c r="Q46" i="2"/>
  <c r="I43" i="2" l="1"/>
  <c r="AQ32" i="5"/>
  <c r="BE32" i="5" s="1"/>
  <c r="AC384" i="2"/>
  <c r="BN59" i="2"/>
  <c r="K529" i="2"/>
  <c r="BW104" i="2"/>
  <c r="AB58" i="20"/>
  <c r="AG58" i="20" s="1"/>
  <c r="AG43" i="20"/>
  <c r="D182" i="2"/>
  <c r="AQ31" i="5"/>
  <c r="BE31" i="5" s="1"/>
  <c r="I109" i="2"/>
  <c r="BS104" i="2"/>
  <c r="K119" i="2"/>
  <c r="BS106" i="2"/>
  <c r="D202" i="2"/>
  <c r="AQ48" i="5"/>
  <c r="BE48" i="5" s="1"/>
  <c r="D214" i="2"/>
  <c r="D354" i="2" s="1"/>
  <c r="AQ52" i="5"/>
  <c r="BE52" i="5" s="1"/>
  <c r="I128" i="2"/>
  <c r="AB132" i="2" s="1"/>
  <c r="AB131" i="2" s="1"/>
  <c r="BS108" i="2"/>
  <c r="R26" i="2"/>
  <c r="S26" i="2" s="1"/>
  <c r="AQ21" i="5"/>
  <c r="BE21" i="5" s="1"/>
  <c r="D174" i="2"/>
  <c r="D314" i="2" s="1"/>
  <c r="AQ27" i="5"/>
  <c r="BE27" i="5" s="1"/>
  <c r="D172" i="2"/>
  <c r="AQ25" i="5"/>
  <c r="BE25" i="5" s="1"/>
  <c r="CD92" i="2"/>
  <c r="BP30" i="2"/>
  <c r="O61" i="5"/>
  <c r="AV61" i="5"/>
  <c r="BB61" i="5" s="1"/>
  <c r="BN79" i="5" s="1"/>
  <c r="AC385" i="2"/>
  <c r="BN60" i="2"/>
  <c r="D255" i="2"/>
  <c r="D395" i="2" s="1"/>
  <c r="AQ62" i="5"/>
  <c r="BE62" i="5" s="1"/>
  <c r="BL52" i="5" s="1"/>
  <c r="D190" i="2"/>
  <c r="AQ39" i="5"/>
  <c r="BE39" i="5" s="1"/>
  <c r="BO32" i="2"/>
  <c r="CA92" i="2"/>
  <c r="BM30" i="2"/>
  <c r="R39" i="5"/>
  <c r="AQ35" i="5"/>
  <c r="BE35" i="5" s="1"/>
  <c r="BL10" i="5" s="1"/>
  <c r="D185" i="2"/>
  <c r="D325" i="2" s="1"/>
  <c r="J34" i="5" s="1"/>
  <c r="AQ34" i="5"/>
  <c r="BE34" i="5" s="1"/>
  <c r="AC105" i="2"/>
  <c r="AD105" i="2" s="1"/>
  <c r="AP105" i="2" s="1"/>
  <c r="BL60" i="2"/>
  <c r="K249" i="2"/>
  <c r="BT104" i="2"/>
  <c r="K115" i="2"/>
  <c r="BS105" i="2"/>
  <c r="AC244" i="2"/>
  <c r="BM59" i="2"/>
  <c r="A179" i="20"/>
  <c r="AQ59" i="5"/>
  <c r="BE59" i="5" s="1"/>
  <c r="D227" i="2"/>
  <c r="D367" i="2" s="1"/>
  <c r="AQ57" i="5"/>
  <c r="BE57" i="5" s="1"/>
  <c r="D15" i="2"/>
  <c r="D155" i="2" s="1"/>
  <c r="F15" i="5" s="1"/>
  <c r="AQ12" i="5"/>
  <c r="BE12" i="5" s="1"/>
  <c r="O64" i="5"/>
  <c r="AV64" i="5"/>
  <c r="BB64" i="5" s="1"/>
  <c r="BN82" i="5" s="1"/>
  <c r="AC166" i="2"/>
  <c r="BM21" i="2"/>
  <c r="L63" i="5"/>
  <c r="AV63" i="5"/>
  <c r="BB63" i="5" s="1"/>
  <c r="BN81" i="5" s="1"/>
  <c r="AC445" i="2"/>
  <c r="AC447" i="2" s="1"/>
  <c r="AC448" i="2" s="1"/>
  <c r="BP20" i="2"/>
  <c r="Q430" i="2"/>
  <c r="Q287" i="2"/>
  <c r="K123" i="2"/>
  <c r="BS107" i="2"/>
  <c r="D175" i="2"/>
  <c r="D315" i="2" s="1"/>
  <c r="AQ28" i="5"/>
  <c r="BE28" i="5" s="1"/>
  <c r="CB92" i="2"/>
  <c r="BN30" i="2"/>
  <c r="D184" i="2"/>
  <c r="AQ33" i="5"/>
  <c r="BE33" i="5" s="1"/>
  <c r="AC245" i="2"/>
  <c r="BM60" i="2"/>
  <c r="K389" i="2"/>
  <c r="BU104" i="2"/>
  <c r="D216" i="2"/>
  <c r="AQ54" i="5"/>
  <c r="BE54" i="5" s="1"/>
  <c r="R52" i="2"/>
  <c r="R51" i="2" s="1"/>
  <c r="AQ42" i="5"/>
  <c r="BE42" i="5" s="1"/>
  <c r="M28" i="2"/>
  <c r="BE22" i="2" s="1"/>
  <c r="BL22" i="2"/>
  <c r="D157" i="2"/>
  <c r="I157" i="2" s="1"/>
  <c r="AQ17" i="5"/>
  <c r="BE17" i="5" s="1"/>
  <c r="L65" i="5"/>
  <c r="AV65" i="5"/>
  <c r="BB65" i="5" s="1"/>
  <c r="BN83" i="5" s="1"/>
  <c r="AC165" i="2"/>
  <c r="AC167" i="2" s="1"/>
  <c r="AC168" i="2" s="1"/>
  <c r="BM20" i="2"/>
  <c r="V297" i="2"/>
  <c r="V437" i="2" s="1"/>
  <c r="Y62" i="2"/>
  <c r="V333" i="2"/>
  <c r="V335" i="2" s="1"/>
  <c r="M47" i="2"/>
  <c r="BE36" i="2" s="1"/>
  <c r="V163" i="2"/>
  <c r="V242" i="2"/>
  <c r="M63" i="2"/>
  <c r="BE49" i="2" s="1"/>
  <c r="R104" i="2"/>
  <c r="W122" i="2"/>
  <c r="H184" i="2"/>
  <c r="E84" i="23"/>
  <c r="K84" i="23" s="1"/>
  <c r="G155" i="2"/>
  <c r="D146" i="23"/>
  <c r="Q146" i="23" s="1"/>
  <c r="M34" i="2"/>
  <c r="BE27" i="2" s="1"/>
  <c r="M86" i="2"/>
  <c r="BE56" i="2" s="1"/>
  <c r="AA313" i="2"/>
  <c r="AB457" i="2"/>
  <c r="AB176" i="2"/>
  <c r="AA176" i="2" s="1"/>
  <c r="Y177" i="2"/>
  <c r="AA297" i="2"/>
  <c r="AA291" i="2"/>
  <c r="AR67" i="2"/>
  <c r="AR69" i="2"/>
  <c r="AR31" i="2"/>
  <c r="K187" i="25" s="1"/>
  <c r="W201" i="25" s="1"/>
  <c r="AI201" i="25" s="1"/>
  <c r="AR37" i="2"/>
  <c r="AR35" i="2"/>
  <c r="K193" i="25" s="1"/>
  <c r="W207" i="25" s="1"/>
  <c r="AI207" i="25" s="1"/>
  <c r="F96" i="23"/>
  <c r="G96" i="23"/>
  <c r="AR62" i="2"/>
  <c r="Y516" i="2"/>
  <c r="Y510" i="2"/>
  <c r="Z437" i="2"/>
  <c r="Z431" i="2"/>
  <c r="Y376" i="2"/>
  <c r="Y370" i="2"/>
  <c r="Z297" i="2"/>
  <c r="Z291" i="2"/>
  <c r="Z148" i="2"/>
  <c r="AB151" i="2"/>
  <c r="Y96" i="2"/>
  <c r="Y90" i="2"/>
  <c r="Z316" i="2"/>
  <c r="AB317" i="2"/>
  <c r="AA311" i="2"/>
  <c r="AA173" i="2"/>
  <c r="L216" i="2"/>
  <c r="D96" i="23"/>
  <c r="E90" i="23"/>
  <c r="K90" i="23" s="1"/>
  <c r="AA152" i="2"/>
  <c r="I104" i="2"/>
  <c r="K175" i="2"/>
  <c r="AA153" i="2"/>
  <c r="R123" i="2"/>
  <c r="W118" i="2"/>
  <c r="K189" i="2"/>
  <c r="BM38" i="2" s="1"/>
  <c r="K59" i="25"/>
  <c r="W81" i="25" s="1"/>
  <c r="W103" i="25" s="1"/>
  <c r="AA451" i="2"/>
  <c r="F101" i="23"/>
  <c r="AA316" i="2"/>
  <c r="AB318" i="2"/>
  <c r="K57" i="25"/>
  <c r="W79" i="25" s="1"/>
  <c r="W101" i="25" s="1"/>
  <c r="W316" i="2"/>
  <c r="F142" i="23"/>
  <c r="X314" i="2"/>
  <c r="G153" i="2"/>
  <c r="I119" i="2"/>
  <c r="G154" i="2"/>
  <c r="D37" i="23"/>
  <c r="K37" i="23" s="1"/>
  <c r="D142" i="23"/>
  <c r="F98" i="23"/>
  <c r="K109" i="2"/>
  <c r="AA294" i="2"/>
  <c r="D141" i="2"/>
  <c r="M277" i="2"/>
  <c r="M417" i="2" s="1"/>
  <c r="M557" i="2" s="1"/>
  <c r="AA18" i="2"/>
  <c r="Y80" i="2"/>
  <c r="I49" i="2"/>
  <c r="Y148" i="2"/>
  <c r="K52" i="23"/>
  <c r="AB116" i="2"/>
  <c r="D150" i="23" s="1"/>
  <c r="J150" i="23" s="1"/>
  <c r="E98" i="23"/>
  <c r="L84" i="23"/>
  <c r="Y32" i="2"/>
  <c r="AB32" i="2" s="1"/>
  <c r="AA32" i="2" s="1"/>
  <c r="Y17" i="2"/>
  <c r="AB106" i="2"/>
  <c r="W106" i="2" s="1"/>
  <c r="M32" i="2"/>
  <c r="BE25" i="2" s="1"/>
  <c r="V398" i="2"/>
  <c r="AA14" i="2"/>
  <c r="G156" i="2"/>
  <c r="H185" i="2"/>
  <c r="I185" i="2" s="1"/>
  <c r="M14" i="23"/>
  <c r="I42" i="2"/>
  <c r="R119" i="2"/>
  <c r="M119" i="2"/>
  <c r="G296" i="2"/>
  <c r="AA121" i="2"/>
  <c r="S46" i="2"/>
  <c r="S186" i="2"/>
  <c r="K36" i="2"/>
  <c r="E89" i="23"/>
  <c r="K89" i="23" s="1"/>
  <c r="Y99" i="2"/>
  <c r="Y178" i="2"/>
  <c r="I33" i="2"/>
  <c r="K524" i="2"/>
  <c r="L150" i="2"/>
  <c r="K150" i="2" s="1"/>
  <c r="BM10" i="2" s="1"/>
  <c r="I45" i="2"/>
  <c r="I35" i="2"/>
  <c r="I115" i="2"/>
  <c r="M278" i="2"/>
  <c r="M418" i="2" s="1"/>
  <c r="M558" i="2" s="1"/>
  <c r="Y172" i="2"/>
  <c r="AB172" i="2" s="1"/>
  <c r="L259" i="2"/>
  <c r="K259" i="2" s="1"/>
  <c r="Y299" i="2"/>
  <c r="I64" i="2"/>
  <c r="I74" i="2"/>
  <c r="M275" i="2"/>
  <c r="M415" i="2" s="1"/>
  <c r="M555" i="2" s="1"/>
  <c r="M279" i="2"/>
  <c r="M419" i="2" s="1"/>
  <c r="M559" i="2" s="1"/>
  <c r="E142" i="23"/>
  <c r="Y239" i="2"/>
  <c r="P275" i="2"/>
  <c r="AD276" i="2" s="1"/>
  <c r="AM276" i="2" s="1"/>
  <c r="AB392" i="2"/>
  <c r="AB393" i="2" s="1"/>
  <c r="M74" i="2"/>
  <c r="BE52" i="2" s="1"/>
  <c r="H484" i="2"/>
  <c r="AA117" i="2"/>
  <c r="M115" i="2"/>
  <c r="M276" i="2"/>
  <c r="M416" i="2" s="1"/>
  <c r="M556" i="2" s="1"/>
  <c r="M35" i="2"/>
  <c r="BE28" i="2" s="1"/>
  <c r="I27" i="2"/>
  <c r="Z313" i="2"/>
  <c r="E96" i="23"/>
  <c r="AA171" i="2"/>
  <c r="I75" i="2"/>
  <c r="S110" i="2"/>
  <c r="S109" i="2" s="1"/>
  <c r="AR27" i="2"/>
  <c r="I34" i="2"/>
  <c r="AA122" i="2"/>
  <c r="AA118" i="2"/>
  <c r="Z15" i="2"/>
  <c r="AA162" i="2"/>
  <c r="W148" i="2"/>
  <c r="AA7" i="2"/>
  <c r="M33" i="2"/>
  <c r="BE26" i="2" s="1"/>
  <c r="AR26" i="2"/>
  <c r="D98" i="23"/>
  <c r="AB120" i="2"/>
  <c r="Y86" i="2"/>
  <c r="L255" i="2"/>
  <c r="E52" i="23" s="1"/>
  <c r="L52" i="23" s="1"/>
  <c r="AX10" i="2"/>
  <c r="L399" i="2" s="1"/>
  <c r="AB402" i="2" s="1"/>
  <c r="AA402" i="2" s="1"/>
  <c r="AB250" i="2"/>
  <c r="AB252" i="2" s="1"/>
  <c r="AB253" i="2" s="1"/>
  <c r="M75" i="2"/>
  <c r="BE53" i="2" s="1"/>
  <c r="I17" i="2"/>
  <c r="K53" i="25"/>
  <c r="W75" i="25" s="1"/>
  <c r="W97" i="25" s="1"/>
  <c r="AR71" i="2"/>
  <c r="Q355" i="2"/>
  <c r="H215" i="2"/>
  <c r="V267" i="2"/>
  <c r="H25" i="2"/>
  <c r="G25" i="2" s="1"/>
  <c r="K13" i="23" s="1"/>
  <c r="AA33" i="2"/>
  <c r="T26" i="2"/>
  <c r="AR85" i="2"/>
  <c r="D174" i="23" s="1"/>
  <c r="R109" i="2"/>
  <c r="I44" i="2"/>
  <c r="I63" i="2"/>
  <c r="R116" i="2"/>
  <c r="S326" i="2"/>
  <c r="H183" i="2"/>
  <c r="AR25" i="2"/>
  <c r="Y226" i="2"/>
  <c r="AA148" i="2"/>
  <c r="AA151" i="2" s="1"/>
  <c r="AB524" i="2"/>
  <c r="AB300" i="2"/>
  <c r="F80" i="23" s="1"/>
  <c r="L80" i="23" s="1"/>
  <c r="AB157" i="2"/>
  <c r="K55" i="25"/>
  <c r="W77" i="25" s="1"/>
  <c r="AI77" i="25" s="1"/>
  <c r="AR63" i="2"/>
  <c r="S466" i="2"/>
  <c r="H202" i="2"/>
  <c r="I202" i="2" s="1"/>
  <c r="H181" i="2"/>
  <c r="BT92" i="2" s="1"/>
  <c r="L17" i="23"/>
  <c r="K76" i="2"/>
  <c r="I76" i="2"/>
  <c r="K525" i="2"/>
  <c r="AB525" i="2"/>
  <c r="G143" i="23" s="1"/>
  <c r="V384" i="2"/>
  <c r="V388" i="2" s="1"/>
  <c r="V248" i="2"/>
  <c r="R48" i="2"/>
  <c r="R46" i="2" s="1"/>
  <c r="AA437" i="2"/>
  <c r="AA434" i="2"/>
  <c r="D226" i="2"/>
  <c r="D366" i="2" s="1"/>
  <c r="I86" i="2"/>
  <c r="Z36" i="2"/>
  <c r="AB38" i="2"/>
  <c r="D101" i="23"/>
  <c r="AA36" i="2"/>
  <c r="W36" i="2"/>
  <c r="Z456" i="2"/>
  <c r="AA456" i="2"/>
  <c r="G101" i="23"/>
  <c r="AB458" i="2"/>
  <c r="W456" i="2"/>
  <c r="AB18" i="2"/>
  <c r="Z9" i="2"/>
  <c r="Z18" i="2" s="1"/>
  <c r="D86" i="23"/>
  <c r="J86" i="23" s="1"/>
  <c r="W9" i="2"/>
  <c r="X161" i="2"/>
  <c r="AB161" i="2" s="1"/>
  <c r="AB160" i="2"/>
  <c r="X441" i="2"/>
  <c r="M104" i="2"/>
  <c r="AC104" i="2"/>
  <c r="AC110" i="2" s="1"/>
  <c r="X435" i="2"/>
  <c r="X438" i="2"/>
  <c r="Y150" i="2"/>
  <c r="AB150" i="2" s="1"/>
  <c r="AA150" i="2" s="1"/>
  <c r="AA159" i="2" s="1"/>
  <c r="Y235" i="2"/>
  <c r="Y238" i="2" s="1"/>
  <c r="K87" i="2"/>
  <c r="I87" i="2"/>
  <c r="H437" i="2"/>
  <c r="G437" i="2" s="1"/>
  <c r="N12" i="23" s="1"/>
  <c r="G297" i="2"/>
  <c r="M12" i="23" s="1"/>
  <c r="V410" i="2"/>
  <c r="V550" i="2" s="1"/>
  <c r="V552" i="2" s="1"/>
  <c r="V272" i="2"/>
  <c r="Y440" i="2"/>
  <c r="Y312" i="2"/>
  <c r="AB312" i="2" s="1"/>
  <c r="Y342" i="2"/>
  <c r="Y354" i="2"/>
  <c r="Y379" i="2"/>
  <c r="G295" i="2"/>
  <c r="I32" i="2"/>
  <c r="Y10" i="2"/>
  <c r="Y95" i="2"/>
  <c r="Y98" i="2" s="1"/>
  <c r="Y19" i="2"/>
  <c r="Z154" i="2"/>
  <c r="E82" i="23"/>
  <c r="K82" i="23" s="1"/>
  <c r="Z153" i="2"/>
  <c r="Y153" i="2"/>
  <c r="Y232" i="2" s="1"/>
  <c r="D215" i="2"/>
  <c r="D213" i="2" s="1"/>
  <c r="H434" i="2"/>
  <c r="G434" i="2" s="1"/>
  <c r="G294" i="2"/>
  <c r="H216" i="2"/>
  <c r="H356" i="2"/>
  <c r="D152" i="23"/>
  <c r="Q152" i="23" s="1"/>
  <c r="D155" i="23"/>
  <c r="J155" i="23" s="1"/>
  <c r="E144" i="23"/>
  <c r="AB247" i="2"/>
  <c r="Y360" i="2"/>
  <c r="Y357" i="2" s="1"/>
  <c r="Y214" i="2"/>
  <c r="Y212" i="2"/>
  <c r="Y224" i="2" s="1"/>
  <c r="Y220" i="2" s="1"/>
  <c r="Z152" i="2"/>
  <c r="Y152" i="2"/>
  <c r="Y231" i="2" s="1"/>
  <c r="M17" i="2"/>
  <c r="BE17" i="2" s="1"/>
  <c r="Z453" i="2"/>
  <c r="G98" i="23"/>
  <c r="D7" i="2"/>
  <c r="AQ7" i="5" s="1"/>
  <c r="BE7" i="5" s="1"/>
  <c r="AR39" i="2"/>
  <c r="K192" i="25" s="1"/>
  <c r="W206" i="25" s="1"/>
  <c r="W221" i="25" s="1"/>
  <c r="AR38" i="2"/>
  <c r="K191" i="25" s="1"/>
  <c r="W205" i="25" s="1"/>
  <c r="AI205" i="25" s="1"/>
  <c r="AR34" i="2"/>
  <c r="K190" i="25" s="1"/>
  <c r="W204" i="25" s="1"/>
  <c r="AI204" i="25" s="1"/>
  <c r="S8" i="2"/>
  <c r="Q343" i="2"/>
  <c r="Q483" i="2" s="1"/>
  <c r="Q482" i="2" s="1"/>
  <c r="Q481" i="2" s="1"/>
  <c r="L156" i="2"/>
  <c r="K156" i="2" s="1"/>
  <c r="BM16" i="2" s="1"/>
  <c r="H226" i="2"/>
  <c r="I226" i="2" s="1"/>
  <c r="V258" i="2"/>
  <c r="AB20" i="2"/>
  <c r="X21" i="2"/>
  <c r="AB21" i="2" s="1"/>
  <c r="H214" i="2"/>
  <c r="I214" i="2" s="1"/>
  <c r="H367" i="2"/>
  <c r="I367" i="2" s="1"/>
  <c r="H227" i="2"/>
  <c r="I227" i="2" s="1"/>
  <c r="G448" i="2"/>
  <c r="T149" i="23"/>
  <c r="AB301" i="2"/>
  <c r="P278" i="2"/>
  <c r="P418" i="2" s="1"/>
  <c r="P558" i="2" s="1"/>
  <c r="K66" i="25"/>
  <c r="K65" i="25"/>
  <c r="W87" i="25" s="1"/>
  <c r="W109" i="25" s="1"/>
  <c r="K63" i="25"/>
  <c r="W85" i="25" s="1"/>
  <c r="AI85" i="25" s="1"/>
  <c r="V195" i="2"/>
  <c r="D148" i="23"/>
  <c r="J148" i="23" s="1"/>
  <c r="AB113" i="2"/>
  <c r="W112" i="2"/>
  <c r="E79" i="23"/>
  <c r="K79" i="23" s="1"/>
  <c r="AA147" i="2"/>
  <c r="J90" i="23"/>
  <c r="AC251" i="2"/>
  <c r="AC254" i="2"/>
  <c r="M105" i="2"/>
  <c r="BE60" i="2" s="1"/>
  <c r="I105" i="2"/>
  <c r="D204" i="2"/>
  <c r="D344" i="2" s="1"/>
  <c r="D484" i="2" s="1"/>
  <c r="U52" i="5" s="1"/>
  <c r="D249" i="2"/>
  <c r="I249" i="2" s="1"/>
  <c r="M27" i="2"/>
  <c r="AC26" i="2"/>
  <c r="AD26" i="2" s="1"/>
  <c r="AP26" i="2" s="1"/>
  <c r="I26" i="2"/>
  <c r="S25" i="2"/>
  <c r="R25" i="2"/>
  <c r="R24" i="2" s="1"/>
  <c r="H182" i="2"/>
  <c r="I182" i="2" s="1"/>
  <c r="M64" i="2"/>
  <c r="BE50" i="2" s="1"/>
  <c r="Y427" i="2"/>
  <c r="Y366" i="2"/>
  <c r="AB287" i="2"/>
  <c r="AD134" i="2"/>
  <c r="AD137" i="2"/>
  <c r="AH137" i="2" s="1"/>
  <c r="P277" i="2"/>
  <c r="P417" i="2" s="1"/>
  <c r="X459" i="2"/>
  <c r="Y70" i="2"/>
  <c r="Y208" i="2"/>
  <c r="Y209" i="2" s="1"/>
  <c r="R105" i="2"/>
  <c r="Y441" i="2"/>
  <c r="Y520" i="2" s="1"/>
  <c r="Y380" i="2"/>
  <c r="P134" i="2"/>
  <c r="M274" i="2"/>
  <c r="M414" i="2" s="1"/>
  <c r="K51" i="25"/>
  <c r="W73" i="25" s="1"/>
  <c r="AR6" i="2"/>
  <c r="H433" i="2"/>
  <c r="G433" i="2" s="1"/>
  <c r="G293" i="2"/>
  <c r="H482" i="2"/>
  <c r="H342" i="2"/>
  <c r="H495" i="2"/>
  <c r="H355" i="2"/>
  <c r="H307" i="2"/>
  <c r="K307" i="2" s="1"/>
  <c r="G447" i="2"/>
  <c r="H447" i="2" s="1"/>
  <c r="K447" i="2" s="1"/>
  <c r="AD136" i="2"/>
  <c r="AM136" i="2" s="1"/>
  <c r="AX7" i="2"/>
  <c r="L314" i="2" s="1"/>
  <c r="K314" i="2" s="1"/>
  <c r="L172" i="2"/>
  <c r="K172" i="2" s="1"/>
  <c r="L176" i="2"/>
  <c r="L173" i="2"/>
  <c r="K173" i="2" s="1"/>
  <c r="BM26" i="2" s="1"/>
  <c r="AC390" i="2"/>
  <c r="AC392" i="2" s="1"/>
  <c r="AC393" i="2" s="1"/>
  <c r="AC386" i="2"/>
  <c r="AC387" i="2" s="1"/>
  <c r="AC531" i="2"/>
  <c r="AC534" i="2"/>
  <c r="I62" i="2"/>
  <c r="L174" i="2"/>
  <c r="K174" i="2" s="1"/>
  <c r="P279" i="2"/>
  <c r="P419" i="2" s="1"/>
  <c r="P559" i="2" s="1"/>
  <c r="AB386" i="2"/>
  <c r="X174" i="2"/>
  <c r="X16" i="2"/>
  <c r="L157" i="2"/>
  <c r="E37" i="23" s="1"/>
  <c r="L37" i="23" s="1"/>
  <c r="V180" i="2"/>
  <c r="V329" i="2"/>
  <c r="V189" i="2"/>
  <c r="P276" i="2"/>
  <c r="P416" i="2" s="1"/>
  <c r="P556" i="2" s="1"/>
  <c r="X34" i="2"/>
  <c r="V407" i="2"/>
  <c r="V547" i="2"/>
  <c r="M62" i="2"/>
  <c r="BE48" i="2" s="1"/>
  <c r="J82" i="23"/>
  <c r="X39" i="2"/>
  <c r="L263" i="2"/>
  <c r="K263" i="2" s="1"/>
  <c r="AX8" i="2"/>
  <c r="L332" i="2" s="1"/>
  <c r="K332" i="2" s="1"/>
  <c r="BN41" i="2" s="1"/>
  <c r="L268" i="2"/>
  <c r="E55" i="23" s="1"/>
  <c r="L55" i="23" s="1"/>
  <c r="AC250" i="2"/>
  <c r="AC252" i="2" s="1"/>
  <c r="AC253" i="2" s="1"/>
  <c r="AC246" i="2"/>
  <c r="AC247" i="2" s="1"/>
  <c r="AC25" i="2"/>
  <c r="M26" i="2"/>
  <c r="BE20" i="2" s="1"/>
  <c r="M184" i="2"/>
  <c r="BF33" i="2" s="1"/>
  <c r="T9" i="2"/>
  <c r="T8" i="2" s="1"/>
  <c r="E63" i="25" s="1"/>
  <c r="Q87" i="25" s="1"/>
  <c r="Q312" i="2"/>
  <c r="Q171" i="2"/>
  <c r="V306" i="2"/>
  <c r="V169" i="2"/>
  <c r="V355" i="2"/>
  <c r="V224" i="2"/>
  <c r="L187" i="2"/>
  <c r="L190" i="2"/>
  <c r="K190" i="2" s="1"/>
  <c r="X296" i="2"/>
  <c r="W224" i="25"/>
  <c r="AI209" i="25"/>
  <c r="D14" i="2"/>
  <c r="D16" i="2"/>
  <c r="D13" i="2"/>
  <c r="Q226" i="2"/>
  <c r="AX9" i="2"/>
  <c r="L294" i="2" s="1"/>
  <c r="K294" i="2" s="1"/>
  <c r="BN14" i="2" s="1"/>
  <c r="L148" i="2"/>
  <c r="K148" i="2" s="1"/>
  <c r="BM8" i="2" s="1"/>
  <c r="L155" i="2"/>
  <c r="K155" i="2" s="1"/>
  <c r="BM15" i="2" s="1"/>
  <c r="L227" i="2"/>
  <c r="L154" i="2"/>
  <c r="K154" i="2" s="1"/>
  <c r="BM14" i="2" s="1"/>
  <c r="L153" i="2"/>
  <c r="K153" i="2" s="1"/>
  <c r="BM13" i="2" s="1"/>
  <c r="L226" i="2"/>
  <c r="V460" i="2"/>
  <c r="V473" i="2"/>
  <c r="AR72" i="2"/>
  <c r="AR68" i="2"/>
  <c r="AR66" i="2"/>
  <c r="AR70" i="2"/>
  <c r="AR65" i="2"/>
  <c r="AB156" i="2"/>
  <c r="Y290" i="2"/>
  <c r="Y436" i="2"/>
  <c r="AB436" i="2" s="1"/>
  <c r="D193" i="2"/>
  <c r="I193" i="2" s="1"/>
  <c r="D51" i="2"/>
  <c r="AQ40" i="5" s="1"/>
  <c r="BE40" i="5" s="1"/>
  <c r="BL11" i="5" s="1"/>
  <c r="I172" i="2"/>
  <c r="AR64" i="2"/>
  <c r="V392" i="2"/>
  <c r="V532" i="2" s="1"/>
  <c r="V534" i="2" s="1"/>
  <c r="V254" i="2"/>
  <c r="X149" i="2"/>
  <c r="I244" i="2"/>
  <c r="K52" i="2"/>
  <c r="BL41" i="2" s="1"/>
  <c r="K62" i="25"/>
  <c r="W84" i="25" s="1"/>
  <c r="K61" i="25"/>
  <c r="W83" i="25" s="1"/>
  <c r="K58" i="25"/>
  <c r="K56" i="25"/>
  <c r="W78" i="25" s="1"/>
  <c r="K54" i="25"/>
  <c r="W76" i="25" s="1"/>
  <c r="K52" i="25"/>
  <c r="W74" i="25" s="1"/>
  <c r="AR32" i="2"/>
  <c r="V212" i="2"/>
  <c r="V402" i="2"/>
  <c r="V262" i="2"/>
  <c r="G48" i="2"/>
  <c r="D245" i="2"/>
  <c r="M245" i="2" s="1"/>
  <c r="D203" i="2"/>
  <c r="D343" i="2" s="1"/>
  <c r="D483" i="2" s="1"/>
  <c r="I53" i="2"/>
  <c r="K50" i="25"/>
  <c r="M7" i="21" s="1"/>
  <c r="M12" i="21" s="1"/>
  <c r="M13" i="21" s="1"/>
  <c r="K64" i="25"/>
  <c r="W86" i="25" s="1"/>
  <c r="L151" i="2"/>
  <c r="K151" i="2" s="1"/>
  <c r="BM11" i="2" s="1"/>
  <c r="AI203" i="25"/>
  <c r="W218" i="25"/>
  <c r="E196" i="25"/>
  <c r="AR40" i="2"/>
  <c r="K196" i="25" s="1"/>
  <c r="I176" i="2"/>
  <c r="V320" i="2"/>
  <c r="I187" i="2"/>
  <c r="O13" i="5"/>
  <c r="Y495" i="2"/>
  <c r="L354" i="2"/>
  <c r="L344" i="2"/>
  <c r="L215" i="2"/>
  <c r="L203" i="2"/>
  <c r="K203" i="2" s="1"/>
  <c r="BM49" i="2" s="1"/>
  <c r="L214" i="2"/>
  <c r="L202" i="2"/>
  <c r="L355" i="2"/>
  <c r="Y488" i="2"/>
  <c r="L342" i="2"/>
  <c r="AZ6" i="2"/>
  <c r="L356" i="2"/>
  <c r="L204" i="2"/>
  <c r="K204" i="2" s="1"/>
  <c r="BM50" i="2" s="1"/>
  <c r="L343" i="2"/>
  <c r="Y492" i="2"/>
  <c r="Y504" i="2" s="1"/>
  <c r="K43" i="23"/>
  <c r="J85" i="23"/>
  <c r="L147" i="23"/>
  <c r="L192" i="2"/>
  <c r="L193" i="2"/>
  <c r="K193" i="2" s="1"/>
  <c r="BM42" i="2" s="1"/>
  <c r="N51" i="23"/>
  <c r="L39" i="23"/>
  <c r="M42" i="23"/>
  <c r="M51" i="23"/>
  <c r="N39" i="23"/>
  <c r="L146" i="23"/>
  <c r="K147" i="23"/>
  <c r="H306" i="2"/>
  <c r="K306" i="2" s="1"/>
  <c r="M166" i="2"/>
  <c r="N42" i="23"/>
  <c r="L83" i="23"/>
  <c r="K54" i="23"/>
  <c r="J79" i="23"/>
  <c r="J83" i="23"/>
  <c r="R147" i="23"/>
  <c r="S149" i="23"/>
  <c r="K39" i="23"/>
  <c r="L89" i="23"/>
  <c r="L42" i="23"/>
  <c r="L64" i="5"/>
  <c r="D543" i="2"/>
  <c r="I543" i="2" s="1"/>
  <c r="O65" i="5"/>
  <c r="O36" i="5"/>
  <c r="F27" i="5"/>
  <c r="F28" i="5"/>
  <c r="I175" i="2"/>
  <c r="I255" i="2"/>
  <c r="F52" i="5"/>
  <c r="I314" i="2"/>
  <c r="J27" i="5"/>
  <c r="F62" i="5"/>
  <c r="S80" i="5" s="1"/>
  <c r="I174" i="2"/>
  <c r="R256" i="2"/>
  <c r="S256" i="2" s="1"/>
  <c r="S255" i="2" s="1"/>
  <c r="M185" i="2"/>
  <c r="BF34" i="2" s="1"/>
  <c r="R165" i="2"/>
  <c r="F20" i="5"/>
  <c r="F34" i="5"/>
  <c r="D322" i="2"/>
  <c r="D462" i="2" s="1"/>
  <c r="M182" i="2"/>
  <c r="BF31" i="2" s="1"/>
  <c r="O9" i="5"/>
  <c r="L61" i="5"/>
  <c r="E154" i="5"/>
  <c r="D316" i="2"/>
  <c r="J29" i="5" s="1"/>
  <c r="F29" i="5"/>
  <c r="I263" i="2"/>
  <c r="D454" i="2"/>
  <c r="N27" i="5" s="1"/>
  <c r="D140" i="5"/>
  <c r="AB14" i="20" s="1"/>
  <c r="AG14" i="20" s="1"/>
  <c r="O10" i="5"/>
  <c r="AL21" i="5"/>
  <c r="D63" i="5"/>
  <c r="AK22" i="5" s="1"/>
  <c r="F31" i="5"/>
  <c r="F48" i="5"/>
  <c r="D138" i="5"/>
  <c r="AB12" i="20" s="1"/>
  <c r="AG12" i="20" s="1"/>
  <c r="D342" i="2"/>
  <c r="D297" i="2"/>
  <c r="O63" i="5"/>
  <c r="E131" i="5"/>
  <c r="F131" i="5" s="1"/>
  <c r="D494" i="2"/>
  <c r="J52" i="5"/>
  <c r="D507" i="2"/>
  <c r="J57" i="5"/>
  <c r="D455" i="2"/>
  <c r="J28" i="5"/>
  <c r="R264" i="2"/>
  <c r="F57" i="5"/>
  <c r="F64" i="5"/>
  <c r="S79" i="5" s="1"/>
  <c r="O8" i="5"/>
  <c r="D10" i="5"/>
  <c r="O15" i="5"/>
  <c r="AL24" i="5"/>
  <c r="F17" i="5"/>
  <c r="O14" i="5"/>
  <c r="C114" i="5"/>
  <c r="H149" i="5" s="1"/>
  <c r="I259" i="2"/>
  <c r="R260" i="2"/>
  <c r="F63" i="5"/>
  <c r="D535" i="2"/>
  <c r="R396" i="2"/>
  <c r="J62" i="5"/>
  <c r="I395" i="2"/>
  <c r="D356" i="2"/>
  <c r="AL20" i="5"/>
  <c r="F54" i="5"/>
  <c r="E152" i="5"/>
  <c r="D169" i="5"/>
  <c r="AB42" i="20" s="1"/>
  <c r="AG42" i="20" s="1"/>
  <c r="D167" i="5"/>
  <c r="AB40" i="20" s="1"/>
  <c r="AG40" i="20" s="1"/>
  <c r="D171" i="5"/>
  <c r="D465" i="2"/>
  <c r="I325" i="2"/>
  <c r="D399" i="2"/>
  <c r="AM23" i="5"/>
  <c r="AL23" i="5"/>
  <c r="J64" i="5"/>
  <c r="T79" i="5" s="1"/>
  <c r="R404" i="2"/>
  <c r="F158" i="5"/>
  <c r="D141" i="5"/>
  <c r="F59" i="5"/>
  <c r="M244" i="2"/>
  <c r="BF59" i="2" s="1"/>
  <c r="R244" i="2"/>
  <c r="D324" i="2"/>
  <c r="F33" i="5"/>
  <c r="I166" i="2"/>
  <c r="D312" i="2"/>
  <c r="F25" i="5"/>
  <c r="H38" i="5"/>
  <c r="O38" i="5"/>
  <c r="I315" i="2"/>
  <c r="I403" i="2"/>
  <c r="D13" i="5"/>
  <c r="I192" i="2"/>
  <c r="D332" i="2"/>
  <c r="M49" i="2"/>
  <c r="BE38" i="2" s="1"/>
  <c r="I47" i="2"/>
  <c r="K46" i="23"/>
  <c r="K128" i="2"/>
  <c r="D163" i="23"/>
  <c r="J163" i="23" s="1"/>
  <c r="W132" i="2"/>
  <c r="D408" i="2"/>
  <c r="F65" i="5"/>
  <c r="I268" i="2"/>
  <c r="R269" i="2"/>
  <c r="R128" i="2"/>
  <c r="S129" i="2"/>
  <c r="S128" i="2" s="1"/>
  <c r="M123" i="2"/>
  <c r="BE64" i="2" s="1"/>
  <c r="I123" i="2"/>
  <c r="AB127" i="2" s="1"/>
  <c r="AB126" i="2" s="1"/>
  <c r="I52" i="2"/>
  <c r="AB55" i="2" s="1"/>
  <c r="AB54" i="2" s="1"/>
  <c r="M53" i="2"/>
  <c r="BE42" i="2" s="1"/>
  <c r="K41" i="23"/>
  <c r="M90" i="23"/>
  <c r="L51" i="23"/>
  <c r="M39" i="23"/>
  <c r="J89" i="23"/>
  <c r="K149" i="23"/>
  <c r="Q151" i="23"/>
  <c r="J151" i="23"/>
  <c r="M82" i="23"/>
  <c r="L149" i="23"/>
  <c r="K83" i="23"/>
  <c r="S146" i="23"/>
  <c r="S147" i="23"/>
  <c r="M84" i="23"/>
  <c r="K42" i="23"/>
  <c r="R149" i="23"/>
  <c r="J84" i="23"/>
  <c r="L90" i="23"/>
  <c r="L82" i="23"/>
  <c r="K53" i="23"/>
  <c r="K45" i="23"/>
  <c r="Q154" i="23"/>
  <c r="J154" i="23"/>
  <c r="M89" i="23"/>
  <c r="M83" i="23"/>
  <c r="M147" i="23"/>
  <c r="M149" i="23"/>
  <c r="Q149" i="23"/>
  <c r="J149" i="23"/>
  <c r="K55" i="23"/>
  <c r="K51" i="23"/>
  <c r="J147" i="23"/>
  <c r="Q147" i="23"/>
  <c r="T147" i="23"/>
  <c r="D327" i="2"/>
  <c r="J36" i="5" s="1"/>
  <c r="O39" i="5"/>
  <c r="F36" i="5"/>
  <c r="I50" i="2"/>
  <c r="D330" i="2"/>
  <c r="I190" i="2"/>
  <c r="F39" i="5"/>
  <c r="M50" i="2"/>
  <c r="BE39" i="2" s="1"/>
  <c r="G328" i="2"/>
  <c r="D168" i="2"/>
  <c r="G468" i="2"/>
  <c r="G188" i="2"/>
  <c r="D189" i="2"/>
  <c r="P245" i="2" l="1"/>
  <c r="BF60" i="2"/>
  <c r="M16" i="2"/>
  <c r="BE16" i="2" s="1"/>
  <c r="AQ16" i="5"/>
  <c r="BE16" i="5" s="1"/>
  <c r="AC446" i="2"/>
  <c r="BP21" i="2"/>
  <c r="M87" i="2"/>
  <c r="BE57" i="2" s="1"/>
  <c r="BL57" i="2"/>
  <c r="AC262" i="2"/>
  <c r="AC260" i="2" s="1"/>
  <c r="AD260" i="2" s="1"/>
  <c r="CA106" i="2"/>
  <c r="BM63" i="2"/>
  <c r="M36" i="2"/>
  <c r="BE29" i="2" s="1"/>
  <c r="BL29" i="2"/>
  <c r="AC114" i="2"/>
  <c r="AD114" i="2" s="1"/>
  <c r="BZ104" i="2"/>
  <c r="BL61" i="2"/>
  <c r="M175" i="2"/>
  <c r="BF28" i="2" s="1"/>
  <c r="BM28" i="2"/>
  <c r="AC394" i="2"/>
  <c r="BN61" i="2"/>
  <c r="CB104" i="2"/>
  <c r="Q288" i="2"/>
  <c r="X303" i="2" s="1"/>
  <c r="Q427" i="2"/>
  <c r="Q428" i="2" s="1"/>
  <c r="X443" i="2" s="1"/>
  <c r="AB130" i="2"/>
  <c r="D162" i="23"/>
  <c r="P26" i="2"/>
  <c r="BE21" i="2"/>
  <c r="P116" i="2"/>
  <c r="Q116" i="2" s="1"/>
  <c r="Q115" i="2" s="1"/>
  <c r="BE62" i="2"/>
  <c r="AC132" i="2"/>
  <c r="AC131" i="2" s="1"/>
  <c r="BZ108" i="2"/>
  <c r="BL65" i="2"/>
  <c r="AB53" i="2"/>
  <c r="AB52" i="2" s="1"/>
  <c r="D106" i="23" s="1"/>
  <c r="Q106" i="23" s="1"/>
  <c r="D108" i="23"/>
  <c r="P165" i="2"/>
  <c r="BF20" i="2"/>
  <c r="Y489" i="2"/>
  <c r="Y485" i="2"/>
  <c r="M14" i="21"/>
  <c r="M14" i="2"/>
  <c r="BE14" i="2" s="1"/>
  <c r="AQ14" i="5"/>
  <c r="BE14" i="5" s="1"/>
  <c r="M190" i="2"/>
  <c r="BF39" i="2" s="1"/>
  <c r="BM39" i="2"/>
  <c r="CA107" i="2"/>
  <c r="BM64" i="2"/>
  <c r="M174" i="2"/>
  <c r="BF27" i="2" s="1"/>
  <c r="BM27" i="2"/>
  <c r="M172" i="2"/>
  <c r="BF25" i="2" s="1"/>
  <c r="BM25" i="2"/>
  <c r="AC306" i="2"/>
  <c r="BN21" i="2"/>
  <c r="BO21" i="2" s="1"/>
  <c r="M76" i="2"/>
  <c r="BE54" i="2" s="1"/>
  <c r="BL54" i="2"/>
  <c r="P120" i="2"/>
  <c r="BE63" i="2"/>
  <c r="BO30" i="2"/>
  <c r="CA104" i="2"/>
  <c r="BM61" i="2"/>
  <c r="I13" i="2"/>
  <c r="AQ13" i="5"/>
  <c r="BE13" i="5" s="1"/>
  <c r="AC525" i="2"/>
  <c r="BP60" i="2"/>
  <c r="BO60" i="2" s="1"/>
  <c r="AC524" i="2"/>
  <c r="AC530" i="2" s="1"/>
  <c r="AC532" i="2" s="1"/>
  <c r="AC533" i="2" s="1"/>
  <c r="BP59" i="2"/>
  <c r="BO59" i="2" s="1"/>
  <c r="I15" i="2"/>
  <c r="AQ15" i="5"/>
  <c r="BE15" i="5" s="1"/>
  <c r="AC118" i="2"/>
  <c r="BZ105" i="2"/>
  <c r="BL62" i="2"/>
  <c r="AB125" i="2"/>
  <c r="AB124" i="2" s="1"/>
  <c r="D156" i="23" s="1"/>
  <c r="Q156" i="23" s="1"/>
  <c r="D158" i="23"/>
  <c r="AC305" i="2"/>
  <c r="AC307" i="2" s="1"/>
  <c r="AC308" i="2" s="1"/>
  <c r="BN20" i="2"/>
  <c r="BO20" i="2" s="1"/>
  <c r="M314" i="2"/>
  <c r="BG27" i="2" s="1"/>
  <c r="BN27" i="2"/>
  <c r="P104" i="2"/>
  <c r="BE59" i="2"/>
  <c r="R64" i="5"/>
  <c r="AQ67" i="5"/>
  <c r="BE67" i="5" s="1"/>
  <c r="BL56" i="5" s="1"/>
  <c r="BL66" i="5" s="1"/>
  <c r="AC391" i="2"/>
  <c r="I184" i="2"/>
  <c r="M15" i="2"/>
  <c r="BE15" i="2" s="1"/>
  <c r="CC92" i="2"/>
  <c r="AC127" i="2"/>
  <c r="BL64" i="2"/>
  <c r="BZ107" i="2"/>
  <c r="AC122" i="2"/>
  <c r="BZ106" i="2"/>
  <c r="BL63" i="2"/>
  <c r="CD104" i="2"/>
  <c r="BP61" i="2"/>
  <c r="AB267" i="2"/>
  <c r="AB266" i="2" s="1"/>
  <c r="AB272" i="2"/>
  <c r="AB271" i="2" s="1"/>
  <c r="D107" i="23"/>
  <c r="J107" i="23" s="1"/>
  <c r="AD131" i="2"/>
  <c r="AH131" i="2" s="1"/>
  <c r="AC130" i="2"/>
  <c r="AB195" i="2"/>
  <c r="AB194" i="2" s="1"/>
  <c r="M263" i="2"/>
  <c r="AC267" i="2"/>
  <c r="V475" i="2"/>
  <c r="D157" i="23"/>
  <c r="M52" i="2"/>
  <c r="BE41" i="2" s="1"/>
  <c r="AC55" i="2"/>
  <c r="AD132" i="2"/>
  <c r="V382" i="2"/>
  <c r="V303" i="2"/>
  <c r="Z176" i="2"/>
  <c r="Z177" i="2" s="1"/>
  <c r="S105" i="2"/>
  <c r="J146" i="23"/>
  <c r="E101" i="23"/>
  <c r="W216" i="25"/>
  <c r="K231" i="25" s="1"/>
  <c r="AB178" i="2"/>
  <c r="E86" i="2"/>
  <c r="Y89" i="2"/>
  <c r="Y11" i="2"/>
  <c r="Z318" i="2"/>
  <c r="Z317" i="2"/>
  <c r="Y362" i="2"/>
  <c r="Y361" i="2"/>
  <c r="Y82" i="2"/>
  <c r="Y81" i="2"/>
  <c r="W176" i="2"/>
  <c r="AB177" i="2"/>
  <c r="AA458" i="2"/>
  <c r="AA457" i="2"/>
  <c r="Y227" i="2"/>
  <c r="Y151" i="2"/>
  <c r="AA318" i="2"/>
  <c r="AA317" i="2"/>
  <c r="Z157" i="2"/>
  <c r="Z151" i="2"/>
  <c r="Y222" i="2"/>
  <c r="Y221" i="2"/>
  <c r="Z458" i="2"/>
  <c r="Z457" i="2"/>
  <c r="K188" i="25"/>
  <c r="W202" i="25" s="1"/>
  <c r="AI202" i="25" s="1"/>
  <c r="K194" i="25"/>
  <c r="W208" i="25" s="1"/>
  <c r="AA312" i="2"/>
  <c r="AA178" i="2"/>
  <c r="AA177" i="2"/>
  <c r="K216" i="2"/>
  <c r="AA38" i="2"/>
  <c r="AA37" i="2"/>
  <c r="Z38" i="2"/>
  <c r="Z37" i="2"/>
  <c r="L288" i="2"/>
  <c r="K288" i="2" s="1"/>
  <c r="BN8" i="2" s="1"/>
  <c r="E115" i="2"/>
  <c r="R65" i="5"/>
  <c r="E87" i="2"/>
  <c r="R58" i="5"/>
  <c r="AC526" i="2"/>
  <c r="AC527" i="2" s="1"/>
  <c r="R61" i="5"/>
  <c r="E75" i="2"/>
  <c r="E109" i="2"/>
  <c r="E103" i="2"/>
  <c r="AA116" i="2"/>
  <c r="W392" i="2"/>
  <c r="J106" i="23"/>
  <c r="E123" i="2"/>
  <c r="E74" i="2"/>
  <c r="E64" i="2"/>
  <c r="R66" i="5"/>
  <c r="E76" i="2"/>
  <c r="AI79" i="25"/>
  <c r="K123" i="25" s="1"/>
  <c r="K145" i="25" s="1"/>
  <c r="AB107" i="2"/>
  <c r="L103" i="2"/>
  <c r="AB108" i="2" s="1"/>
  <c r="D145" i="23" s="1"/>
  <c r="R60" i="5"/>
  <c r="E73" i="2"/>
  <c r="E119" i="2"/>
  <c r="R59" i="5"/>
  <c r="E63" i="2"/>
  <c r="E128" i="2"/>
  <c r="E105" i="2"/>
  <c r="R67" i="5"/>
  <c r="E62" i="2"/>
  <c r="E85" i="2"/>
  <c r="R57" i="5"/>
  <c r="E104" i="2"/>
  <c r="E61" i="2"/>
  <c r="F60" i="5"/>
  <c r="R63" i="5"/>
  <c r="AC106" i="2"/>
  <c r="AD106" i="2" s="1"/>
  <c r="V524" i="2"/>
  <c r="V528" i="2" s="1"/>
  <c r="D225" i="2"/>
  <c r="F55" i="5" s="1"/>
  <c r="S77" i="5" s="1"/>
  <c r="L291" i="2"/>
  <c r="K291" i="2" s="1"/>
  <c r="BN11" i="2" s="1"/>
  <c r="Q150" i="23"/>
  <c r="L297" i="2"/>
  <c r="F37" i="23" s="1"/>
  <c r="K233" i="25"/>
  <c r="AB258" i="2"/>
  <c r="W258" i="2" s="1"/>
  <c r="K255" i="2"/>
  <c r="F53" i="5"/>
  <c r="Y217" i="2"/>
  <c r="W220" i="25"/>
  <c r="K235" i="25" s="1"/>
  <c r="W107" i="25"/>
  <c r="K129" i="25" s="1"/>
  <c r="AI206" i="25"/>
  <c r="K236" i="25" s="1"/>
  <c r="K251" i="25" s="1"/>
  <c r="F148" i="23"/>
  <c r="L148" i="23" s="1"/>
  <c r="F42" i="5"/>
  <c r="I155" i="2"/>
  <c r="K268" i="2"/>
  <c r="D191" i="2"/>
  <c r="F40" i="5" s="1"/>
  <c r="L403" i="2"/>
  <c r="K403" i="2" s="1"/>
  <c r="AI81" i="25"/>
  <c r="K125" i="25" s="1"/>
  <c r="K147" i="25" s="1"/>
  <c r="AI87" i="25"/>
  <c r="K131" i="25" s="1"/>
  <c r="K153" i="25" s="1"/>
  <c r="AC111" i="2"/>
  <c r="AD111" i="2" s="1"/>
  <c r="AP111" i="2" s="1"/>
  <c r="H344" i="2"/>
  <c r="I344" i="2" s="1"/>
  <c r="AC261" i="2"/>
  <c r="AD261" i="2" s="1"/>
  <c r="AQ261" i="2" s="1"/>
  <c r="D355" i="2"/>
  <c r="I355" i="2" s="1"/>
  <c r="L367" i="2"/>
  <c r="K367" i="2" s="1"/>
  <c r="L289" i="2"/>
  <c r="K289" i="2" s="1"/>
  <c r="BN9" i="2" s="1"/>
  <c r="H103" i="2"/>
  <c r="Y229" i="2"/>
  <c r="L293" i="2"/>
  <c r="K293" i="2" s="1"/>
  <c r="BN13" i="2" s="1"/>
  <c r="L296" i="2"/>
  <c r="K296" i="2" s="1"/>
  <c r="BN16" i="2" s="1"/>
  <c r="BO16" i="2" s="1"/>
  <c r="AZ9" i="2"/>
  <c r="L436" i="2" s="1"/>
  <c r="K436" i="2" s="1"/>
  <c r="BP16" i="2" s="1"/>
  <c r="AD279" i="2"/>
  <c r="AQ279" i="2" s="1"/>
  <c r="H496" i="2"/>
  <c r="Q342" i="2"/>
  <c r="Q341" i="2" s="1"/>
  <c r="AB159" i="2"/>
  <c r="D97" i="23"/>
  <c r="M109" i="2"/>
  <c r="H85" i="2"/>
  <c r="P415" i="2"/>
  <c r="AD416" i="2" s="1"/>
  <c r="AM416" i="2" s="1"/>
  <c r="I215" i="2"/>
  <c r="L295" i="2"/>
  <c r="K295" i="2" s="1"/>
  <c r="BN15" i="2" s="1"/>
  <c r="K157" i="2"/>
  <c r="L366" i="2"/>
  <c r="L290" i="2"/>
  <c r="K290" i="2" s="1"/>
  <c r="BN10" i="2" s="1"/>
  <c r="Q120" i="2"/>
  <c r="Q119" i="2" s="1"/>
  <c r="P119" i="2"/>
  <c r="BS37" i="2" s="1"/>
  <c r="BZ37" i="2" s="1"/>
  <c r="R192" i="2"/>
  <c r="R191" i="2" s="1"/>
  <c r="J50" i="5"/>
  <c r="M204" i="2"/>
  <c r="BF50" i="2" s="1"/>
  <c r="L395" i="2"/>
  <c r="F52" i="23" s="1"/>
  <c r="M52" i="23" s="1"/>
  <c r="AB400" i="2"/>
  <c r="H61" i="2"/>
  <c r="D153" i="2"/>
  <c r="I153" i="2" s="1"/>
  <c r="I245" i="2"/>
  <c r="L243" i="2" s="1"/>
  <c r="R245" i="2"/>
  <c r="R243" i="2" s="1"/>
  <c r="L408" i="2"/>
  <c r="F55" i="23" s="1"/>
  <c r="M55" i="23" s="1"/>
  <c r="K399" i="2"/>
  <c r="K227" i="2"/>
  <c r="K239" i="25"/>
  <c r="AD104" i="2"/>
  <c r="AH104" i="2" s="1"/>
  <c r="D144" i="23"/>
  <c r="F103" i="2"/>
  <c r="D25" i="23" s="1"/>
  <c r="J142" i="23" s="1"/>
  <c r="Y157" i="2"/>
  <c r="M31" i="2"/>
  <c r="D333" i="2"/>
  <c r="D331" i="2" s="1"/>
  <c r="J40" i="5" s="1"/>
  <c r="D243" i="2"/>
  <c r="AD246" i="2" s="1"/>
  <c r="AF246" i="2" s="1"/>
  <c r="AI75" i="25"/>
  <c r="K119" i="25" s="1"/>
  <c r="Q146" i="2"/>
  <c r="L329" i="2"/>
  <c r="K329" i="2" s="1"/>
  <c r="BN38" i="2" s="1"/>
  <c r="L48" i="2"/>
  <c r="D44" i="23" s="1"/>
  <c r="K44" i="23" s="1"/>
  <c r="F56" i="5"/>
  <c r="M193" i="2"/>
  <c r="BF42" i="2" s="1"/>
  <c r="F53" i="23"/>
  <c r="M53" i="23" s="1"/>
  <c r="K215" i="2"/>
  <c r="H507" i="2"/>
  <c r="I507" i="2" s="1"/>
  <c r="M13" i="2"/>
  <c r="AB10" i="2"/>
  <c r="M259" i="2"/>
  <c r="F49" i="5"/>
  <c r="L31" i="2"/>
  <c r="H73" i="2"/>
  <c r="BS101" i="2" s="1"/>
  <c r="D295" i="2"/>
  <c r="I295" i="2" s="1"/>
  <c r="W99" i="25"/>
  <c r="K121" i="25" s="1"/>
  <c r="K143" i="25" s="1"/>
  <c r="F85" i="2"/>
  <c r="D24" i="23" s="1"/>
  <c r="M273" i="2"/>
  <c r="BF66" i="2" s="1"/>
  <c r="R103" i="2"/>
  <c r="H24" i="2"/>
  <c r="E53" i="23"/>
  <c r="L53" i="23" s="1"/>
  <c r="AB262" i="2"/>
  <c r="M155" i="2"/>
  <c r="BF15" i="2" s="1"/>
  <c r="J49" i="5"/>
  <c r="L85" i="2"/>
  <c r="D49" i="23" s="1"/>
  <c r="Q155" i="23"/>
  <c r="K355" i="2"/>
  <c r="BN53" i="2" s="1"/>
  <c r="F97" i="23"/>
  <c r="S116" i="2"/>
  <c r="S115" i="2" s="1"/>
  <c r="R115" i="2"/>
  <c r="D153" i="23"/>
  <c r="AA120" i="2"/>
  <c r="E54" i="23"/>
  <c r="L54" i="23" s="1"/>
  <c r="I203" i="2"/>
  <c r="AZ10" i="2"/>
  <c r="L467" i="2" s="1"/>
  <c r="K356" i="2"/>
  <c r="AD274" i="2"/>
  <c r="AI274" i="2" s="1"/>
  <c r="K202" i="2"/>
  <c r="V394" i="2"/>
  <c r="V412" i="2"/>
  <c r="L73" i="2"/>
  <c r="D48" i="23" s="1"/>
  <c r="E148" i="23"/>
  <c r="W402" i="2"/>
  <c r="S10" i="2"/>
  <c r="I216" i="2"/>
  <c r="AA300" i="2"/>
  <c r="AB526" i="2"/>
  <c r="AB530" i="2"/>
  <c r="G142" i="23"/>
  <c r="F73" i="2"/>
  <c r="D23" i="23" s="1"/>
  <c r="W252" i="2"/>
  <c r="L330" i="2"/>
  <c r="K330" i="2" s="1"/>
  <c r="F155" i="23"/>
  <c r="S155" i="23" s="1"/>
  <c r="AB401" i="2"/>
  <c r="AA401" i="2" s="1"/>
  <c r="K214" i="2"/>
  <c r="F31" i="2"/>
  <c r="D15" i="23" s="1"/>
  <c r="H31" i="2"/>
  <c r="I31" i="2" s="1"/>
  <c r="S9" i="2"/>
  <c r="L327" i="2"/>
  <c r="K327" i="2" s="1"/>
  <c r="AD277" i="2"/>
  <c r="AH277" i="2" s="1"/>
  <c r="E146" i="23"/>
  <c r="AA157" i="2"/>
  <c r="AA154" i="2"/>
  <c r="Q495" i="2"/>
  <c r="Q494" i="2" s="1"/>
  <c r="Q493" i="2" s="1"/>
  <c r="Q354" i="2"/>
  <c r="Q353" i="2" s="1"/>
  <c r="H354" i="2"/>
  <c r="I354" i="2" s="1"/>
  <c r="H494" i="2"/>
  <c r="I494" i="2" s="1"/>
  <c r="AZ7" i="2"/>
  <c r="L454" i="2" s="1"/>
  <c r="K454" i="2" s="1"/>
  <c r="W222" i="25"/>
  <c r="S32" i="2"/>
  <c r="R32" i="2" s="1"/>
  <c r="E80" i="23"/>
  <c r="K80" i="23" s="1"/>
  <c r="AA160" i="2"/>
  <c r="D80" i="23"/>
  <c r="J80" i="23" s="1"/>
  <c r="AA20" i="2"/>
  <c r="J152" i="23"/>
  <c r="L313" i="2"/>
  <c r="K313" i="2" s="1"/>
  <c r="BN26" i="2" s="1"/>
  <c r="W219" i="25"/>
  <c r="K234" i="25" s="1"/>
  <c r="K249" i="25" s="1"/>
  <c r="S31" i="2"/>
  <c r="R31" i="2" s="1"/>
  <c r="AD254" i="2"/>
  <c r="Z150" i="2"/>
  <c r="Z159" i="2" s="1"/>
  <c r="E88" i="23"/>
  <c r="K88" i="23" s="1"/>
  <c r="W150" i="2"/>
  <c r="AA161" i="2"/>
  <c r="E81" i="23"/>
  <c r="K81" i="23" s="1"/>
  <c r="H51" i="2"/>
  <c r="BS94" i="2" s="1"/>
  <c r="Y494" i="2"/>
  <c r="Y482" i="2"/>
  <c r="Y519" i="2"/>
  <c r="Y452" i="2"/>
  <c r="AB452" i="2" s="1"/>
  <c r="M203" i="2"/>
  <c r="BF49" i="2" s="1"/>
  <c r="K226" i="2"/>
  <c r="H48" i="2"/>
  <c r="I48" i="2" s="1"/>
  <c r="AD251" i="2"/>
  <c r="AP251" i="2" s="1"/>
  <c r="AA301" i="2"/>
  <c r="F81" i="23"/>
  <c r="L81" i="23" s="1"/>
  <c r="H448" i="2"/>
  <c r="K448" i="2" s="1"/>
  <c r="BP22" i="2" s="1"/>
  <c r="BO22" i="2" s="1"/>
  <c r="N14" i="23"/>
  <c r="H506" i="2"/>
  <c r="H366" i="2"/>
  <c r="Q6" i="2"/>
  <c r="S7" i="2"/>
  <c r="D10" i="2"/>
  <c r="AQ10" i="5" s="1"/>
  <c r="BE10" i="5" s="1"/>
  <c r="R31" i="5"/>
  <c r="D8" i="2"/>
  <c r="AQ8" i="5" s="1"/>
  <c r="BE8" i="5" s="1"/>
  <c r="D6" i="2"/>
  <c r="AQ6" i="5" s="1"/>
  <c r="BE6" i="5" s="1"/>
  <c r="BL7" i="5" s="1"/>
  <c r="R33" i="5"/>
  <c r="R30" i="5"/>
  <c r="D9" i="2"/>
  <c r="AQ9" i="5" s="1"/>
  <c r="BE9" i="5" s="1"/>
  <c r="D11" i="2"/>
  <c r="AQ11" i="5" s="1"/>
  <c r="BE11" i="5" s="1"/>
  <c r="R32" i="5"/>
  <c r="AB440" i="2"/>
  <c r="AA436" i="2"/>
  <c r="G87" i="23"/>
  <c r="M87" i="23" s="1"/>
  <c r="Z436" i="2"/>
  <c r="AI78" i="25"/>
  <c r="W100" i="25"/>
  <c r="Q452" i="2"/>
  <c r="Q311" i="2"/>
  <c r="S312" i="2" s="1"/>
  <c r="AD110" i="2"/>
  <c r="AC112" i="2"/>
  <c r="P25" i="2"/>
  <c r="M25" i="2"/>
  <c r="X9" i="2"/>
  <c r="AB16" i="2"/>
  <c r="AB387" i="2"/>
  <c r="F144" i="23"/>
  <c r="W386" i="2"/>
  <c r="Y205" i="2"/>
  <c r="Y210" i="2"/>
  <c r="S24" i="2"/>
  <c r="T25" i="2"/>
  <c r="AI76" i="25"/>
  <c r="W98" i="25"/>
  <c r="Y369" i="2"/>
  <c r="Y430" i="2"/>
  <c r="Q366" i="2"/>
  <c r="Q227" i="2"/>
  <c r="Q367" i="2" s="1"/>
  <c r="Q507" i="2" s="1"/>
  <c r="E97" i="23"/>
  <c r="AA172" i="2"/>
  <c r="F79" i="23"/>
  <c r="L79" i="23" s="1"/>
  <c r="AA287" i="2"/>
  <c r="L25" i="2"/>
  <c r="K25" i="2"/>
  <c r="I25" i="2"/>
  <c r="D389" i="2"/>
  <c r="AD391" i="2" s="1"/>
  <c r="AP391" i="2" s="1"/>
  <c r="D201" i="2"/>
  <c r="C47" i="5" s="1"/>
  <c r="F61" i="5"/>
  <c r="I204" i="2"/>
  <c r="AD252" i="2"/>
  <c r="AF252" i="2" s="1"/>
  <c r="AD253" i="2"/>
  <c r="AI253" i="2" s="1"/>
  <c r="V492" i="2"/>
  <c r="V352" i="2"/>
  <c r="W106" i="25"/>
  <c r="AI84" i="25"/>
  <c r="X155" i="2"/>
  <c r="X158" i="2"/>
  <c r="D156" i="2"/>
  <c r="I16" i="2"/>
  <c r="AB290" i="2"/>
  <c r="E43" i="23"/>
  <c r="L43" i="23" s="1"/>
  <c r="K187" i="2"/>
  <c r="V446" i="2"/>
  <c r="V449" i="2" s="1"/>
  <c r="V309" i="2"/>
  <c r="Q170" i="2"/>
  <c r="L333" i="2"/>
  <c r="AZ8" i="2"/>
  <c r="M61" i="2"/>
  <c r="BE47" i="2" s="1"/>
  <c r="L61" i="2"/>
  <c r="F61" i="2"/>
  <c r="D22" i="23" s="1"/>
  <c r="AG140" i="2"/>
  <c r="AB427" i="2"/>
  <c r="Y506" i="2"/>
  <c r="P105" i="2"/>
  <c r="M103" i="2"/>
  <c r="BE58" i="2" s="1"/>
  <c r="D81" i="23"/>
  <c r="AA21" i="2"/>
  <c r="W96" i="25"/>
  <c r="AI74" i="25"/>
  <c r="Y515" i="2"/>
  <c r="Y518" i="2" s="1"/>
  <c r="Y439" i="2"/>
  <c r="D154" i="2"/>
  <c r="I14" i="2"/>
  <c r="E41" i="23"/>
  <c r="L41" i="23" s="1"/>
  <c r="K176" i="2"/>
  <c r="AI86" i="25"/>
  <c r="W108" i="25"/>
  <c r="H483" i="2"/>
  <c r="I483" i="2" s="1"/>
  <c r="H343" i="2"/>
  <c r="I343" i="2" s="1"/>
  <c r="K168" i="25"/>
  <c r="K171" i="25" s="1"/>
  <c r="K174" i="25" s="1"/>
  <c r="W80" i="25"/>
  <c r="V495" i="2"/>
  <c r="V504" i="2" s="1"/>
  <c r="V364" i="2"/>
  <c r="Q109" i="25"/>
  <c r="AC87" i="25"/>
  <c r="AD25" i="2"/>
  <c r="AC27" i="2"/>
  <c r="K67" i="25"/>
  <c r="D169" i="23"/>
  <c r="AB441" i="2"/>
  <c r="Q148" i="23"/>
  <c r="L51" i="2"/>
  <c r="M249" i="2"/>
  <c r="R251" i="2"/>
  <c r="S250" i="2" s="1"/>
  <c r="F50" i="5"/>
  <c r="AD250" i="2"/>
  <c r="AH250" i="2" s="1"/>
  <c r="K342" i="2"/>
  <c r="W72" i="25"/>
  <c r="K167" i="25"/>
  <c r="K170" i="25" s="1"/>
  <c r="W105" i="25"/>
  <c r="AI83" i="25"/>
  <c r="R37" i="5"/>
  <c r="AA156" i="2"/>
  <c r="E87" i="23"/>
  <c r="K87" i="23" s="1"/>
  <c r="Z156" i="2"/>
  <c r="AB296" i="2"/>
  <c r="X289" i="2"/>
  <c r="AR61" i="2"/>
  <c r="AR30" i="2"/>
  <c r="L312" i="2"/>
  <c r="K312" i="2" s="1"/>
  <c r="L316" i="2"/>
  <c r="L315" i="2"/>
  <c r="K315" i="2" s="1"/>
  <c r="AI73" i="25"/>
  <c r="W95" i="25"/>
  <c r="P274" i="2"/>
  <c r="AD138" i="2"/>
  <c r="P133" i="2"/>
  <c r="BS40" i="2" s="1"/>
  <c r="BZ40" i="2" s="1"/>
  <c r="AD135" i="2"/>
  <c r="AI134" i="2"/>
  <c r="S104" i="2"/>
  <c r="Y490" i="2"/>
  <c r="Y500" i="2"/>
  <c r="Y497" i="2" s="1"/>
  <c r="AD417" i="2"/>
  <c r="AH417" i="2" s="1"/>
  <c r="AD414" i="2"/>
  <c r="P557" i="2"/>
  <c r="M413" i="2"/>
  <c r="BG66" i="2" s="1"/>
  <c r="M554" i="2"/>
  <c r="M553" i="2" s="1"/>
  <c r="BI66" i="2" s="1"/>
  <c r="E46" i="23"/>
  <c r="L46" i="23" s="1"/>
  <c r="K192" i="2"/>
  <c r="E45" i="23"/>
  <c r="L45" i="23" s="1"/>
  <c r="L494" i="2"/>
  <c r="L484" i="2"/>
  <c r="K484" i="2" s="1"/>
  <c r="L483" i="2"/>
  <c r="L495" i="2"/>
  <c r="K495" i="2" s="1"/>
  <c r="BP53" i="2" s="1"/>
  <c r="L496" i="2"/>
  <c r="L482" i="2"/>
  <c r="K482" i="2" s="1"/>
  <c r="BP48" i="2" s="1"/>
  <c r="F45" i="23"/>
  <c r="M45" i="23" s="1"/>
  <c r="R544" i="2"/>
  <c r="R543" i="2" s="1"/>
  <c r="N64" i="5"/>
  <c r="U79" i="5" s="1"/>
  <c r="R255" i="2"/>
  <c r="N50" i="5"/>
  <c r="I342" i="2"/>
  <c r="J31" i="5"/>
  <c r="I454" i="2"/>
  <c r="J48" i="5"/>
  <c r="I322" i="2"/>
  <c r="I316" i="2"/>
  <c r="R80" i="5"/>
  <c r="R79" i="5"/>
  <c r="D341" i="2"/>
  <c r="D482" i="2"/>
  <c r="D456" i="2"/>
  <c r="E153" i="5"/>
  <c r="E169" i="5" s="1"/>
  <c r="AC42" i="20" s="1"/>
  <c r="I484" i="2"/>
  <c r="R74" i="5"/>
  <c r="J17" i="5"/>
  <c r="I297" i="2"/>
  <c r="AL22" i="5"/>
  <c r="AM22" i="5"/>
  <c r="D437" i="2"/>
  <c r="I437" i="2" s="1"/>
  <c r="R263" i="2"/>
  <c r="S264" i="2"/>
  <c r="S263" i="2" s="1"/>
  <c r="I455" i="2"/>
  <c r="N28" i="5"/>
  <c r="N57" i="5"/>
  <c r="N49" i="5"/>
  <c r="U51" i="5"/>
  <c r="N52" i="5"/>
  <c r="I535" i="2"/>
  <c r="R536" i="2"/>
  <c r="N62" i="5"/>
  <c r="I465" i="2"/>
  <c r="N34" i="5"/>
  <c r="F153" i="5"/>
  <c r="G131" i="5"/>
  <c r="T80" i="5"/>
  <c r="I327" i="2"/>
  <c r="F51" i="5"/>
  <c r="C51" i="5"/>
  <c r="AR51" i="5" s="1"/>
  <c r="AZ51" i="5" s="1"/>
  <c r="BL76" i="5" s="1"/>
  <c r="G158" i="5"/>
  <c r="F152" i="5"/>
  <c r="F191" i="2"/>
  <c r="L191" i="2"/>
  <c r="D452" i="2"/>
  <c r="I312" i="2"/>
  <c r="J25" i="5"/>
  <c r="I462" i="2"/>
  <c r="N31" i="5"/>
  <c r="L225" i="2"/>
  <c r="F225" i="2"/>
  <c r="E24" i="23" s="1"/>
  <c r="H225" i="2"/>
  <c r="BT102" i="2" s="1"/>
  <c r="D467" i="2"/>
  <c r="S404" i="2"/>
  <c r="S403" i="2" s="1"/>
  <c r="R403" i="2"/>
  <c r="D506" i="2"/>
  <c r="J56" i="5"/>
  <c r="D365" i="2"/>
  <c r="R259" i="2"/>
  <c r="S260" i="2"/>
  <c r="S259" i="2" s="1"/>
  <c r="M8" i="21"/>
  <c r="S74" i="5"/>
  <c r="D464" i="2"/>
  <c r="I324" i="2"/>
  <c r="J33" i="5"/>
  <c r="P244" i="2"/>
  <c r="M243" i="2"/>
  <c r="BF58" i="2" s="1"/>
  <c r="D539" i="2"/>
  <c r="I399" i="2"/>
  <c r="R400" i="2"/>
  <c r="J63" i="5"/>
  <c r="T74" i="5" s="1"/>
  <c r="I356" i="2"/>
  <c r="D496" i="2"/>
  <c r="J54" i="5"/>
  <c r="R395" i="2"/>
  <c r="S396" i="2"/>
  <c r="S395" i="2" s="1"/>
  <c r="H191" i="2"/>
  <c r="BT94" i="2" s="1"/>
  <c r="I191" i="2"/>
  <c r="D472" i="2"/>
  <c r="J41" i="5"/>
  <c r="I332" i="2"/>
  <c r="M332" i="2"/>
  <c r="BG41" i="2" s="1"/>
  <c r="I51" i="2"/>
  <c r="F51" i="2"/>
  <c r="M128" i="2"/>
  <c r="Q163" i="23"/>
  <c r="S73" i="5"/>
  <c r="R73" i="5"/>
  <c r="S269" i="2"/>
  <c r="S268" i="2" s="1"/>
  <c r="R268" i="2"/>
  <c r="D548" i="2"/>
  <c r="J65" i="5"/>
  <c r="T73" i="5" s="1"/>
  <c r="R409" i="2"/>
  <c r="I408" i="2"/>
  <c r="P124" i="2"/>
  <c r="M51" i="2"/>
  <c r="BE40" i="2" s="1"/>
  <c r="P52" i="2"/>
  <c r="K19" i="23"/>
  <c r="M19" i="23"/>
  <c r="M48" i="2"/>
  <c r="BE37" i="2" s="1"/>
  <c r="N19" i="23"/>
  <c r="L19" i="23"/>
  <c r="D329" i="2"/>
  <c r="D188" i="2"/>
  <c r="M189" i="2"/>
  <c r="BF38" i="2" s="1"/>
  <c r="I189" i="2"/>
  <c r="F38" i="5"/>
  <c r="D308" i="2"/>
  <c r="M168" i="2"/>
  <c r="BF22" i="2" s="1"/>
  <c r="F22" i="5"/>
  <c r="D470" i="2"/>
  <c r="I330" i="2"/>
  <c r="J39" i="5"/>
  <c r="M330" i="2" l="1"/>
  <c r="BG39" i="2" s="1"/>
  <c r="BN39" i="2"/>
  <c r="M157" i="2"/>
  <c r="BF17" i="2" s="1"/>
  <c r="BM17" i="2"/>
  <c r="J162" i="23"/>
  <c r="Q162" i="23"/>
  <c r="CC104" i="2"/>
  <c r="AG141" i="2"/>
  <c r="D47" i="5"/>
  <c r="AK16" i="5" s="1"/>
  <c r="AR47" i="5"/>
  <c r="AZ47" i="5" s="1"/>
  <c r="BL75" i="5" s="1"/>
  <c r="M24" i="2"/>
  <c r="BE18" i="2" s="1"/>
  <c r="BE19" i="2"/>
  <c r="M327" i="2"/>
  <c r="BG36" i="2" s="1"/>
  <c r="BN36" i="2"/>
  <c r="M214" i="2"/>
  <c r="BF52" i="2" s="1"/>
  <c r="BM52" i="2"/>
  <c r="M356" i="2"/>
  <c r="BG54" i="2" s="1"/>
  <c r="BN54" i="2"/>
  <c r="AD262" i="2"/>
  <c r="AG262" i="2" s="1"/>
  <c r="M12" i="2"/>
  <c r="BE12" i="2" s="1"/>
  <c r="BE13" i="2"/>
  <c r="M30" i="2"/>
  <c r="BE24" i="2"/>
  <c r="I61" i="2"/>
  <c r="C77" i="5" s="1"/>
  <c r="BS100" i="2"/>
  <c r="P111" i="2"/>
  <c r="P109" i="2" s="1"/>
  <c r="BS35" i="2" s="1"/>
  <c r="BZ35" i="2" s="1"/>
  <c r="BE61" i="2"/>
  <c r="M367" i="2"/>
  <c r="BG57" i="2" s="1"/>
  <c r="BN57" i="2"/>
  <c r="AC407" i="2"/>
  <c r="AD407" i="2" s="1"/>
  <c r="AF407" i="2" s="1"/>
  <c r="CB107" i="2"/>
  <c r="BN64" i="2"/>
  <c r="BO11" i="2"/>
  <c r="BO8" i="2"/>
  <c r="AB270" i="2"/>
  <c r="AB269" i="2" s="1"/>
  <c r="E162" i="23"/>
  <c r="J108" i="23"/>
  <c r="Q108" i="23"/>
  <c r="AB129" i="2"/>
  <c r="D160" i="23" s="1"/>
  <c r="D161" i="23"/>
  <c r="BO61" i="2"/>
  <c r="M315" i="2"/>
  <c r="BG28" i="2" s="1"/>
  <c r="BN28" i="2"/>
  <c r="AC29" i="2"/>
  <c r="AD29" i="2" s="1"/>
  <c r="BL19" i="2"/>
  <c r="M226" i="2"/>
  <c r="BF56" i="2" s="1"/>
  <c r="BM56" i="2"/>
  <c r="AC402" i="2"/>
  <c r="AC401" i="2" s="1"/>
  <c r="AD401" i="2" s="1"/>
  <c r="AQ401" i="2" s="1"/>
  <c r="BN63" i="2"/>
  <c r="CB106" i="2"/>
  <c r="BL70" i="5"/>
  <c r="BL63" i="5"/>
  <c r="BL62" i="5"/>
  <c r="BL67" i="5"/>
  <c r="BL61" i="5"/>
  <c r="BL68" i="5"/>
  <c r="BL64" i="5"/>
  <c r="BL65" i="5"/>
  <c r="BL69" i="5"/>
  <c r="J158" i="23"/>
  <c r="Q158" i="23"/>
  <c r="P129" i="2"/>
  <c r="P128" i="2" s="1"/>
  <c r="BS39" i="2" s="1"/>
  <c r="BZ39" i="2" s="1"/>
  <c r="BE65" i="2"/>
  <c r="BH66" i="2"/>
  <c r="M312" i="2"/>
  <c r="BG25" i="2" s="1"/>
  <c r="BN25" i="2"/>
  <c r="M187" i="2"/>
  <c r="BF36" i="2" s="1"/>
  <c r="BM36" i="2"/>
  <c r="BO53" i="2"/>
  <c r="G24" i="2"/>
  <c r="BS90" i="2"/>
  <c r="M73" i="2"/>
  <c r="BO10" i="2"/>
  <c r="M216" i="2"/>
  <c r="BF54" i="2" s="1"/>
  <c r="BM54" i="2"/>
  <c r="P264" i="2"/>
  <c r="BF64" i="2"/>
  <c r="AB265" i="2"/>
  <c r="AB264" i="2" s="1"/>
  <c r="E158" i="23"/>
  <c r="M19" i="21"/>
  <c r="M20" i="21" s="1"/>
  <c r="M24" i="21" s="1"/>
  <c r="M15" i="21"/>
  <c r="M22" i="21" s="1"/>
  <c r="M484" i="2"/>
  <c r="BI50" i="2" s="1"/>
  <c r="BP50" i="2"/>
  <c r="M454" i="2"/>
  <c r="BI27" i="2" s="1"/>
  <c r="BH27" i="2" s="1"/>
  <c r="BP27" i="2"/>
  <c r="BO27" i="2" s="1"/>
  <c r="I85" i="2"/>
  <c r="C78" i="5" s="1"/>
  <c r="BS102" i="2"/>
  <c r="AC258" i="2"/>
  <c r="AC257" i="2" s="1"/>
  <c r="AD257" i="2" s="1"/>
  <c r="AQ257" i="2" s="1"/>
  <c r="AQ281" i="2" s="1"/>
  <c r="D51" i="20" s="1"/>
  <c r="CA105" i="2"/>
  <c r="BM62" i="2"/>
  <c r="AD118" i="2"/>
  <c r="AG118" i="2" s="1"/>
  <c r="AC116" i="2"/>
  <c r="AD116" i="2" s="1"/>
  <c r="AC117" i="2"/>
  <c r="AD117" i="2" s="1"/>
  <c r="AQ117" i="2" s="1"/>
  <c r="AH42" i="20"/>
  <c r="AC57" i="20"/>
  <c r="AH57" i="20" s="1"/>
  <c r="AC195" i="2"/>
  <c r="AC194" i="2" s="1"/>
  <c r="BM41" i="2"/>
  <c r="M342" i="2"/>
  <c r="BG48" i="2" s="1"/>
  <c r="BN48" i="2"/>
  <c r="BO48" i="2" s="1"/>
  <c r="P251" i="2"/>
  <c r="P249" i="2" s="1"/>
  <c r="BT35" i="2" s="1"/>
  <c r="CA35" i="2" s="1"/>
  <c r="BF61" i="2"/>
  <c r="M176" i="2"/>
  <c r="BF29" i="2" s="1"/>
  <c r="BM29" i="2"/>
  <c r="M202" i="2"/>
  <c r="BF48" i="2" s="1"/>
  <c r="BM48" i="2"/>
  <c r="P260" i="2"/>
  <c r="Q260" i="2" s="1"/>
  <c r="Q259" i="2" s="1"/>
  <c r="BF63" i="2"/>
  <c r="M215" i="2"/>
  <c r="BF53" i="2" s="1"/>
  <c r="BM53" i="2"/>
  <c r="M227" i="2"/>
  <c r="BF57" i="2" s="1"/>
  <c r="BM57" i="2"/>
  <c r="I103" i="2"/>
  <c r="C82" i="5" s="1"/>
  <c r="BS103" i="2"/>
  <c r="AC272" i="2"/>
  <c r="AD272" i="2" s="1"/>
  <c r="AF272" i="2" s="1"/>
  <c r="CA108" i="2"/>
  <c r="BM65" i="2"/>
  <c r="P115" i="2"/>
  <c r="BS36" i="2" s="1"/>
  <c r="BZ36" i="2" s="1"/>
  <c r="AB193" i="2"/>
  <c r="AB192" i="2" s="1"/>
  <c r="E108" i="23"/>
  <c r="AC121" i="2"/>
  <c r="AD121" i="2" s="1"/>
  <c r="AQ121" i="2" s="1"/>
  <c r="AD122" i="2"/>
  <c r="AG122" i="2" s="1"/>
  <c r="AC120" i="2"/>
  <c r="AD120" i="2" s="1"/>
  <c r="AD127" i="2"/>
  <c r="AF127" i="2" s="1"/>
  <c r="AC126" i="2"/>
  <c r="AB49" i="2"/>
  <c r="AB48" i="2" s="1"/>
  <c r="Q107" i="23"/>
  <c r="J156" i="23"/>
  <c r="AB412" i="2"/>
  <c r="AB411" i="2" s="1"/>
  <c r="AD194" i="2"/>
  <c r="AC193" i="2"/>
  <c r="AC271" i="2"/>
  <c r="AA49" i="2"/>
  <c r="AD55" i="2"/>
  <c r="AF55" i="2" s="1"/>
  <c r="AC54" i="2"/>
  <c r="J157" i="23"/>
  <c r="Q157" i="23"/>
  <c r="AB407" i="2"/>
  <c r="AB406" i="2" s="1"/>
  <c r="AD130" i="2"/>
  <c r="AL130" i="2" s="1"/>
  <c r="AC129" i="2"/>
  <c r="AD129" i="2" s="1"/>
  <c r="AD267" i="2"/>
  <c r="AF267" i="2" s="1"/>
  <c r="AC266" i="2"/>
  <c r="W195" i="2"/>
  <c r="V522" i="2"/>
  <c r="V443" i="2"/>
  <c r="S171" i="2"/>
  <c r="S172" i="2"/>
  <c r="Z178" i="2"/>
  <c r="S103" i="2"/>
  <c r="L507" i="2"/>
  <c r="K507" i="2" s="1"/>
  <c r="W217" i="25"/>
  <c r="K232" i="25" s="1"/>
  <c r="K247" i="25" s="1"/>
  <c r="Y236" i="2"/>
  <c r="Y230" i="2"/>
  <c r="AB19" i="2"/>
  <c r="AI208" i="25"/>
  <c r="W223" i="25"/>
  <c r="Y502" i="2"/>
  <c r="Y501" i="2"/>
  <c r="T225" i="2"/>
  <c r="AD402" i="2"/>
  <c r="AG402" i="2" s="1"/>
  <c r="K237" i="25"/>
  <c r="K252" i="25" s="1"/>
  <c r="H30" i="2"/>
  <c r="BS91" i="2" s="1"/>
  <c r="AD37" i="2"/>
  <c r="AK37" i="2" s="1"/>
  <c r="AD36" i="2"/>
  <c r="AF36" i="2" s="1"/>
  <c r="K297" i="2"/>
  <c r="E141" i="2"/>
  <c r="K127" i="25"/>
  <c r="AC107" i="2"/>
  <c r="AD107" i="2" s="1"/>
  <c r="AI107" i="2" s="1"/>
  <c r="D50" i="23"/>
  <c r="K50" i="23" s="1"/>
  <c r="M268" i="2"/>
  <c r="P555" i="2"/>
  <c r="AD556" i="2" s="1"/>
  <c r="AM556" i="2" s="1"/>
  <c r="S71" i="5"/>
  <c r="AD390" i="2"/>
  <c r="AH390" i="2" s="1"/>
  <c r="C55" i="5"/>
  <c r="L437" i="2"/>
  <c r="K437" i="2" s="1"/>
  <c r="AB398" i="2"/>
  <c r="AB397" i="2" s="1"/>
  <c r="L429" i="2"/>
  <c r="K429" i="2" s="1"/>
  <c r="BP9" i="2" s="1"/>
  <c r="BO9" i="2" s="1"/>
  <c r="AB256" i="2"/>
  <c r="E150" i="23" s="1"/>
  <c r="L431" i="2"/>
  <c r="K431" i="2" s="1"/>
  <c r="BP11" i="2" s="1"/>
  <c r="AC400" i="2"/>
  <c r="AD400" i="2" s="1"/>
  <c r="J143" i="23"/>
  <c r="S148" i="23"/>
  <c r="I333" i="2"/>
  <c r="L331" i="2" s="1"/>
  <c r="L428" i="2"/>
  <c r="K428" i="2" s="1"/>
  <c r="BP8" i="2" s="1"/>
  <c r="AB257" i="2"/>
  <c r="E151" i="23" s="1"/>
  <c r="AA258" i="2"/>
  <c r="E152" i="23"/>
  <c r="K152" i="23" s="1"/>
  <c r="F13" i="5"/>
  <c r="AD393" i="2"/>
  <c r="AI393" i="2" s="1"/>
  <c r="R332" i="2"/>
  <c r="R331" i="2" s="1"/>
  <c r="D293" i="2"/>
  <c r="M293" i="2" s="1"/>
  <c r="BG13" i="2" s="1"/>
  <c r="J61" i="5"/>
  <c r="M295" i="2"/>
  <c r="BG15" i="2" s="1"/>
  <c r="P32" i="2"/>
  <c r="M255" i="2"/>
  <c r="W10" i="2"/>
  <c r="P259" i="2"/>
  <c r="BT37" i="2" s="1"/>
  <c r="CA37" i="2" s="1"/>
  <c r="K408" i="2"/>
  <c r="C40" i="5"/>
  <c r="AB84" i="2"/>
  <c r="AB77" i="2" s="1"/>
  <c r="L506" i="2"/>
  <c r="K506" i="2" s="1"/>
  <c r="K51" i="2"/>
  <c r="K103" i="2"/>
  <c r="D88" i="23"/>
  <c r="J88" i="23" s="1"/>
  <c r="K344" i="2"/>
  <c r="M403" i="2"/>
  <c r="Z10" i="2"/>
  <c r="AA10" i="2"/>
  <c r="K49" i="23"/>
  <c r="L469" i="2"/>
  <c r="K469" i="2" s="1"/>
  <c r="BP38" i="2" s="1"/>
  <c r="BO38" i="2" s="1"/>
  <c r="S245" i="2"/>
  <c r="S244" i="2"/>
  <c r="E157" i="23"/>
  <c r="R157" i="23" s="1"/>
  <c r="F54" i="23"/>
  <c r="M54" i="23" s="1"/>
  <c r="M355" i="2"/>
  <c r="BG53" i="2" s="1"/>
  <c r="D495" i="2"/>
  <c r="I495" i="2" s="1"/>
  <c r="F341" i="2"/>
  <c r="F22" i="23" s="1"/>
  <c r="K496" i="2"/>
  <c r="L453" i="2"/>
  <c r="K453" i="2" s="1"/>
  <c r="BP26" i="2" s="1"/>
  <c r="BO26" i="2" s="1"/>
  <c r="J97" i="23"/>
  <c r="AB248" i="2"/>
  <c r="E145" i="23" s="1"/>
  <c r="E50" i="23"/>
  <c r="F58" i="5"/>
  <c r="S78" i="5" s="1"/>
  <c r="G61" i="2"/>
  <c r="K22" i="23" s="1"/>
  <c r="G73" i="2"/>
  <c r="K23" i="23" s="1"/>
  <c r="D473" i="2"/>
  <c r="D471" i="2" s="1"/>
  <c r="D353" i="2"/>
  <c r="G51" i="5" s="1"/>
  <c r="R391" i="2"/>
  <c r="S390" i="2" s="1"/>
  <c r="F243" i="2"/>
  <c r="E25" i="23" s="1"/>
  <c r="K142" i="23" s="1"/>
  <c r="AM260" i="2"/>
  <c r="L433" i="2"/>
  <c r="K433" i="2" s="1"/>
  <c r="BP13" i="2" s="1"/>
  <c r="BO13" i="2" s="1"/>
  <c r="L430" i="2"/>
  <c r="K430" i="2" s="1"/>
  <c r="BP10" i="2" s="1"/>
  <c r="L434" i="2"/>
  <c r="K434" i="2" s="1"/>
  <c r="BP14" i="2" s="1"/>
  <c r="BO14" i="2" s="1"/>
  <c r="L155" i="23"/>
  <c r="K48" i="23"/>
  <c r="AD419" i="2"/>
  <c r="AQ419" i="2" s="1"/>
  <c r="J53" i="5"/>
  <c r="AG280" i="2"/>
  <c r="L201" i="2"/>
  <c r="E47" i="23" s="1"/>
  <c r="J42" i="5"/>
  <c r="AD247" i="2"/>
  <c r="AI247" i="2" s="1"/>
  <c r="H243" i="2"/>
  <c r="L435" i="2"/>
  <c r="K435" i="2" s="1"/>
  <c r="BP15" i="2" s="1"/>
  <c r="BO15" i="2" s="1"/>
  <c r="K483" i="2"/>
  <c r="I12" i="2"/>
  <c r="I73" i="2"/>
  <c r="I141" i="2" s="1"/>
  <c r="J86" i="2" s="1"/>
  <c r="K366" i="2"/>
  <c r="F213" i="2"/>
  <c r="E23" i="23" s="1"/>
  <c r="L46" i="2"/>
  <c r="H213" i="2"/>
  <c r="BT101" i="2" s="1"/>
  <c r="D435" i="2"/>
  <c r="AD244" i="2"/>
  <c r="AH244" i="2" s="1"/>
  <c r="L539" i="2"/>
  <c r="G53" i="23" s="1"/>
  <c r="N53" i="23" s="1"/>
  <c r="H12" i="2"/>
  <c r="G12" i="2" s="1"/>
  <c r="G103" i="2"/>
  <c r="K25" i="23" s="1"/>
  <c r="Q145" i="23" s="1"/>
  <c r="S30" i="2"/>
  <c r="J144" i="23"/>
  <c r="M399" i="2"/>
  <c r="M153" i="2"/>
  <c r="BF13" i="2" s="1"/>
  <c r="J15" i="5"/>
  <c r="C58" i="5"/>
  <c r="D384" i="2"/>
  <c r="D524" i="2" s="1"/>
  <c r="M389" i="2"/>
  <c r="D529" i="2"/>
  <c r="AD533" i="2" s="1"/>
  <c r="AI533" i="2" s="1"/>
  <c r="H201" i="2"/>
  <c r="AD392" i="2"/>
  <c r="AF392" i="2" s="1"/>
  <c r="K395" i="2"/>
  <c r="F154" i="23"/>
  <c r="L154" i="23" s="1"/>
  <c r="L470" i="2"/>
  <c r="K470" i="2" s="1"/>
  <c r="L535" i="2"/>
  <c r="G52" i="23" s="1"/>
  <c r="N52" i="23" s="1"/>
  <c r="T31" i="2"/>
  <c r="E192" i="25" s="1"/>
  <c r="Q209" i="25" s="1"/>
  <c r="G85" i="2"/>
  <c r="K24" i="23" s="1"/>
  <c r="K85" i="2"/>
  <c r="K48" i="2"/>
  <c r="BL37" i="2" s="1"/>
  <c r="AD394" i="2"/>
  <c r="F153" i="23"/>
  <c r="AA400" i="2"/>
  <c r="D385" i="2"/>
  <c r="M385" i="2" s="1"/>
  <c r="L213" i="2"/>
  <c r="E48" i="23" s="1"/>
  <c r="AB102" i="2"/>
  <c r="D141" i="23" s="1"/>
  <c r="AD245" i="2"/>
  <c r="AP245" i="2" s="1"/>
  <c r="I389" i="2"/>
  <c r="M201" i="2"/>
  <c r="K31" i="2"/>
  <c r="BL24" i="2" s="1"/>
  <c r="D40" i="23"/>
  <c r="K40" i="23" s="1"/>
  <c r="I366" i="2"/>
  <c r="L365" i="2" s="1"/>
  <c r="R7" i="2"/>
  <c r="AB261" i="2"/>
  <c r="W262" i="2"/>
  <c r="AA262" i="2"/>
  <c r="AB260" i="2"/>
  <c r="E155" i="23"/>
  <c r="G47" i="5"/>
  <c r="K118" i="25"/>
  <c r="K140" i="25" s="1"/>
  <c r="G146" i="23"/>
  <c r="AB532" i="2"/>
  <c r="L456" i="2"/>
  <c r="G41" i="23" s="1"/>
  <c r="N41" i="23" s="1"/>
  <c r="L452" i="2"/>
  <c r="K452" i="2" s="1"/>
  <c r="K117" i="25"/>
  <c r="K139" i="25" s="1"/>
  <c r="K73" i="2"/>
  <c r="R249" i="2"/>
  <c r="L455" i="2"/>
  <c r="K455" i="2" s="1"/>
  <c r="T32" i="2"/>
  <c r="E189" i="25" s="1"/>
  <c r="Q203" i="25" s="1"/>
  <c r="AC203" i="25" s="1"/>
  <c r="G31" i="2"/>
  <c r="K15" i="23" s="1"/>
  <c r="Q97" i="23" s="1"/>
  <c r="Q225" i="2"/>
  <c r="K120" i="25"/>
  <c r="F43" i="23"/>
  <c r="M43" i="23" s="1"/>
  <c r="K148" i="23"/>
  <c r="R148" i="23"/>
  <c r="J153" i="23"/>
  <c r="Q153" i="23"/>
  <c r="AD140" i="2"/>
  <c r="AD133" i="2" s="1"/>
  <c r="C85" i="20" s="1"/>
  <c r="H85" i="20" s="1"/>
  <c r="K130" i="25"/>
  <c r="K152" i="25" s="1"/>
  <c r="J98" i="23"/>
  <c r="J101" i="23"/>
  <c r="J96" i="23"/>
  <c r="G144" i="23"/>
  <c r="W526" i="2"/>
  <c r="AB527" i="2"/>
  <c r="S251" i="2"/>
  <c r="S249" i="2" s="1"/>
  <c r="F201" i="2"/>
  <c r="E22" i="23" s="1"/>
  <c r="K146" i="23"/>
  <c r="R146" i="23"/>
  <c r="D56" i="2"/>
  <c r="R36" i="5"/>
  <c r="D281" i="2"/>
  <c r="E204" i="2" s="1"/>
  <c r="K494" i="2"/>
  <c r="AC32" i="2"/>
  <c r="AC33" i="2"/>
  <c r="M9" i="2"/>
  <c r="BE9" i="2" s="1"/>
  <c r="I9" i="2"/>
  <c r="D149" i="2"/>
  <c r="D148" i="2"/>
  <c r="I8" i="2"/>
  <c r="M8" i="2"/>
  <c r="BE8" i="2" s="1"/>
  <c r="D151" i="2"/>
  <c r="I11" i="2"/>
  <c r="M11" i="2"/>
  <c r="BE11" i="2" s="1"/>
  <c r="F47" i="5"/>
  <c r="R76" i="5" s="1"/>
  <c r="S6" i="2"/>
  <c r="G80" i="23"/>
  <c r="M80" i="23" s="1"/>
  <c r="AA440" i="2"/>
  <c r="R8" i="2"/>
  <c r="K354" i="2"/>
  <c r="D167" i="2"/>
  <c r="Q250" i="2"/>
  <c r="AF254" i="2" s="1"/>
  <c r="D183" i="2"/>
  <c r="M183" i="2" s="1"/>
  <c r="BF32" i="2" s="1"/>
  <c r="L30" i="2"/>
  <c r="R9" i="2"/>
  <c r="E128" i="25"/>
  <c r="AC31" i="2"/>
  <c r="I10" i="2"/>
  <c r="M10" i="2"/>
  <c r="BE10" i="2" s="1"/>
  <c r="D150" i="2"/>
  <c r="D173" i="2"/>
  <c r="G97" i="23"/>
  <c r="AA452" i="2"/>
  <c r="R10" i="2"/>
  <c r="K246" i="25"/>
  <c r="AA296" i="2"/>
  <c r="F87" i="23"/>
  <c r="L87" i="23" s="1"/>
  <c r="Z296" i="2"/>
  <c r="AI72" i="25"/>
  <c r="W94" i="25"/>
  <c r="AH25" i="2"/>
  <c r="F16" i="5"/>
  <c r="I156" i="2"/>
  <c r="D296" i="2"/>
  <c r="M156" i="2"/>
  <c r="BF16" i="2" s="1"/>
  <c r="Q25" i="2"/>
  <c r="AF29" i="2" s="1"/>
  <c r="P24" i="2"/>
  <c r="BS22" i="2" s="1"/>
  <c r="BZ22" i="2" s="1"/>
  <c r="AH138" i="2"/>
  <c r="AO138" i="2"/>
  <c r="L473" i="2"/>
  <c r="L548" i="2"/>
  <c r="L543" i="2"/>
  <c r="AB547" i="2" s="1"/>
  <c r="AB546" i="2" s="1"/>
  <c r="L472" i="2"/>
  <c r="S148" i="2"/>
  <c r="S149" i="2"/>
  <c r="C81" i="5"/>
  <c r="C80" i="5" s="1"/>
  <c r="I24" i="2"/>
  <c r="AR28" i="2"/>
  <c r="AR24" i="2" s="1"/>
  <c r="D170" i="23" s="1"/>
  <c r="D64" i="23"/>
  <c r="AD112" i="2"/>
  <c r="AF112" i="2" s="1"/>
  <c r="AC113" i="2"/>
  <c r="AD113" i="2" s="1"/>
  <c r="AI113" i="2" s="1"/>
  <c r="K122" i="25"/>
  <c r="K144" i="25" s="1"/>
  <c r="D152" i="2"/>
  <c r="F12" i="5" s="1"/>
  <c r="Q251" i="2"/>
  <c r="AP254" i="2" s="1"/>
  <c r="AD249" i="2"/>
  <c r="D80" i="20" s="1"/>
  <c r="AI135" i="2"/>
  <c r="AO135" i="2"/>
  <c r="D172" i="23"/>
  <c r="X295" i="2"/>
  <c r="X298" i="2"/>
  <c r="K173" i="25"/>
  <c r="E17" i="25" s="1"/>
  <c r="AB10" i="20" s="1"/>
  <c r="E38" i="25"/>
  <c r="AE14" i="21" s="1"/>
  <c r="AD27" i="2"/>
  <c r="AF27" i="2" s="1"/>
  <c r="AC28" i="2"/>
  <c r="AD28" i="2" s="1"/>
  <c r="AI28" i="2" s="1"/>
  <c r="AI80" i="25"/>
  <c r="W102" i="25"/>
  <c r="F14" i="5"/>
  <c r="I154" i="2"/>
  <c r="D294" i="2"/>
  <c r="M154" i="2"/>
  <c r="BF14" i="2" s="1"/>
  <c r="Q26" i="2"/>
  <c r="AP29" i="2" s="1"/>
  <c r="R30" i="2"/>
  <c r="K61" i="2"/>
  <c r="AB72" i="2"/>
  <c r="D47" i="23"/>
  <c r="K47" i="23" s="1"/>
  <c r="AB299" i="2"/>
  <c r="AA290" i="2"/>
  <c r="AA299" i="2" s="1"/>
  <c r="Z290" i="2"/>
  <c r="Z299" i="2" s="1"/>
  <c r="W290" i="2"/>
  <c r="F88" i="23"/>
  <c r="L88" i="23" s="1"/>
  <c r="S147" i="2"/>
  <c r="L24" i="2"/>
  <c r="K24" i="2" s="1"/>
  <c r="D38" i="23"/>
  <c r="K38" i="23" s="1"/>
  <c r="Q506" i="2"/>
  <c r="Q505" i="2" s="1"/>
  <c r="Q365" i="2"/>
  <c r="AA16" i="2"/>
  <c r="AA155" i="2" s="1"/>
  <c r="D87" i="23"/>
  <c r="Z16" i="2"/>
  <c r="S311" i="2"/>
  <c r="S310" i="2" s="1"/>
  <c r="Q310" i="2"/>
  <c r="J81" i="23"/>
  <c r="P63" i="2"/>
  <c r="P62" i="2"/>
  <c r="AF106" i="2"/>
  <c r="AB430" i="2"/>
  <c r="Y509" i="2"/>
  <c r="X15" i="2"/>
  <c r="Y15" i="2" s="1"/>
  <c r="X18" i="2"/>
  <c r="Y9" i="2"/>
  <c r="Q451" i="2"/>
  <c r="K152" i="2"/>
  <c r="BM12" i="2" s="1"/>
  <c r="AA441" i="2"/>
  <c r="G81" i="23"/>
  <c r="M81" i="23" s="1"/>
  <c r="G79" i="23"/>
  <c r="M79" i="23" s="1"/>
  <c r="AA427" i="2"/>
  <c r="J145" i="23"/>
  <c r="E159" i="23"/>
  <c r="K159" i="23" s="1"/>
  <c r="W267" i="2"/>
  <c r="AF140" i="2"/>
  <c r="AD278" i="2"/>
  <c r="P273" i="2"/>
  <c r="BT40" i="2" s="1"/>
  <c r="CA40" i="2" s="1"/>
  <c r="P414" i="2"/>
  <c r="AD275" i="2"/>
  <c r="F41" i="23"/>
  <c r="M41" i="23" s="1"/>
  <c r="K316" i="2"/>
  <c r="K186" i="25"/>
  <c r="D171" i="23"/>
  <c r="C76" i="5"/>
  <c r="I30" i="2"/>
  <c r="AB40" i="2"/>
  <c r="AD32" i="2"/>
  <c r="AH32" i="2" s="1"/>
  <c r="F30" i="2"/>
  <c r="AD33" i="2"/>
  <c r="AI33" i="2" s="1"/>
  <c r="AD31" i="2"/>
  <c r="AC36" i="2"/>
  <c r="AD38" i="2"/>
  <c r="AH38" i="2" s="1"/>
  <c r="K343" i="2"/>
  <c r="Q105" i="2"/>
  <c r="Q104" i="2"/>
  <c r="P103" i="2"/>
  <c r="BS34" i="2" s="1"/>
  <c r="BZ34" i="2" s="1"/>
  <c r="K333" i="2"/>
  <c r="F46" i="23"/>
  <c r="M46" i="23" s="1"/>
  <c r="S150" i="2"/>
  <c r="K128" i="25"/>
  <c r="AH110" i="2"/>
  <c r="M192" i="2"/>
  <c r="BF41" i="2" s="1"/>
  <c r="AD557" i="2"/>
  <c r="AH557" i="2" s="1"/>
  <c r="AD554" i="2"/>
  <c r="AI554" i="2" s="1"/>
  <c r="AI414" i="2"/>
  <c r="S544" i="2"/>
  <c r="S543" i="2" s="1"/>
  <c r="G43" i="23"/>
  <c r="N43" i="23" s="1"/>
  <c r="K467" i="2"/>
  <c r="M482" i="2"/>
  <c r="BI48" i="2" s="1"/>
  <c r="M37" i="23"/>
  <c r="H341" i="2"/>
  <c r="L341" i="2"/>
  <c r="F47" i="23" s="1"/>
  <c r="I456" i="2"/>
  <c r="J47" i="5"/>
  <c r="T76" i="5" s="1"/>
  <c r="N48" i="5"/>
  <c r="U16" i="5"/>
  <c r="D481" i="2"/>
  <c r="N47" i="5" s="1"/>
  <c r="N29" i="5"/>
  <c r="I482" i="2"/>
  <c r="H481" i="2" s="1"/>
  <c r="BW100" i="2" s="1"/>
  <c r="U17" i="5"/>
  <c r="N17" i="5"/>
  <c r="K191" i="2"/>
  <c r="AM16" i="5"/>
  <c r="AL16" i="5"/>
  <c r="N36" i="5"/>
  <c r="I467" i="2"/>
  <c r="G191" i="2"/>
  <c r="I506" i="2"/>
  <c r="D505" i="2"/>
  <c r="N56" i="5"/>
  <c r="S536" i="2"/>
  <c r="S535" i="2" s="1"/>
  <c r="R535" i="2"/>
  <c r="E109" i="23"/>
  <c r="K109" i="23" s="1"/>
  <c r="I539" i="2"/>
  <c r="R540" i="2"/>
  <c r="N63" i="5"/>
  <c r="U74" i="5" s="1"/>
  <c r="Q244" i="2"/>
  <c r="P243" i="2"/>
  <c r="BT34" i="2" s="1"/>
  <c r="CA34" i="2" s="1"/>
  <c r="Q245" i="2"/>
  <c r="I496" i="2"/>
  <c r="N54" i="5"/>
  <c r="U53" i="5"/>
  <c r="J55" i="5"/>
  <c r="G55" i="5"/>
  <c r="AT55" i="5" s="1"/>
  <c r="BA55" i="5" s="1"/>
  <c r="BM77" i="5" s="1"/>
  <c r="H353" i="2"/>
  <c r="BU101" i="2" s="1"/>
  <c r="L353" i="2"/>
  <c r="F353" i="2"/>
  <c r="F23" i="23" s="1"/>
  <c r="G152" i="5"/>
  <c r="H152" i="5" s="1"/>
  <c r="F169" i="5"/>
  <c r="AD42" i="20" s="1"/>
  <c r="I464" i="2"/>
  <c r="N33" i="5"/>
  <c r="G225" i="2"/>
  <c r="L24" i="23" s="1"/>
  <c r="I225" i="2"/>
  <c r="E78" i="5" s="1"/>
  <c r="D51" i="5"/>
  <c r="AK17" i="5" s="1"/>
  <c r="H188" i="2"/>
  <c r="I188" i="2" s="1"/>
  <c r="L188" i="2"/>
  <c r="S400" i="2"/>
  <c r="S399" i="2" s="1"/>
  <c r="R399" i="2"/>
  <c r="K225" i="2"/>
  <c r="AB242" i="2"/>
  <c r="E49" i="23"/>
  <c r="N25" i="5"/>
  <c r="I452" i="2"/>
  <c r="H158" i="5"/>
  <c r="G153" i="5"/>
  <c r="H131" i="5"/>
  <c r="H153" i="5" s="1"/>
  <c r="U80" i="5"/>
  <c r="H46" i="2"/>
  <c r="BS93" i="2" s="1"/>
  <c r="F46" i="2"/>
  <c r="G40" i="5"/>
  <c r="I472" i="2"/>
  <c r="N41" i="5"/>
  <c r="G51" i="2"/>
  <c r="AF132" i="2"/>
  <c r="S409" i="2"/>
  <c r="S408" i="2" s="1"/>
  <c r="R408" i="2"/>
  <c r="N65" i="5"/>
  <c r="U73" i="5" s="1"/>
  <c r="R549" i="2"/>
  <c r="I548" i="2"/>
  <c r="E163" i="23"/>
  <c r="W272" i="2"/>
  <c r="P123" i="2"/>
  <c r="BS38" i="2" s="1"/>
  <c r="BZ38" i="2" s="1"/>
  <c r="Q124" i="2"/>
  <c r="D159" i="23"/>
  <c r="W127" i="2"/>
  <c r="D109" i="23"/>
  <c r="W55" i="2"/>
  <c r="Q52" i="2"/>
  <c r="Q51" i="2" s="1"/>
  <c r="P51" i="2"/>
  <c r="BS26" i="2" s="1"/>
  <c r="BZ26" i="2" s="1"/>
  <c r="D469" i="2"/>
  <c r="D328" i="2"/>
  <c r="I329" i="2"/>
  <c r="M329" i="2"/>
  <c r="BG38" i="2" s="1"/>
  <c r="J38" i="5"/>
  <c r="P47" i="2"/>
  <c r="M46" i="2"/>
  <c r="BE35" i="2" s="1"/>
  <c r="P48" i="2"/>
  <c r="I470" i="2"/>
  <c r="N39" i="5"/>
  <c r="D448" i="2"/>
  <c r="M308" i="2"/>
  <c r="BG22" i="2" s="1"/>
  <c r="J22" i="5"/>
  <c r="I46" i="2"/>
  <c r="D186" i="2"/>
  <c r="C37" i="5"/>
  <c r="AR37" i="5" s="1"/>
  <c r="AZ37" i="5" s="1"/>
  <c r="R187" i="2"/>
  <c r="F37" i="5"/>
  <c r="R188" i="2"/>
  <c r="AC335" i="2" l="1"/>
  <c r="BN42" i="2"/>
  <c r="M343" i="2"/>
  <c r="BG49" i="2" s="1"/>
  <c r="BH49" i="2" s="1"/>
  <c r="BN49" i="2"/>
  <c r="M316" i="2"/>
  <c r="BG29" i="2" s="1"/>
  <c r="BN29" i="2"/>
  <c r="H47" i="5"/>
  <c r="AT47" i="5"/>
  <c r="BA47" i="5" s="1"/>
  <c r="BM75" i="5" s="1"/>
  <c r="AC102" i="2"/>
  <c r="AD102" i="2" s="1"/>
  <c r="AK102" i="2" s="1"/>
  <c r="BZ102" i="2"/>
  <c r="BL55" i="2"/>
  <c r="I201" i="2"/>
  <c r="E77" i="5" s="1"/>
  <c r="F77" i="5" s="1"/>
  <c r="BT100" i="2"/>
  <c r="AC108" i="2"/>
  <c r="AD108" i="2" s="1"/>
  <c r="AF108" i="2" s="1"/>
  <c r="BZ103" i="2"/>
  <c r="BL58" i="2"/>
  <c r="M297" i="2"/>
  <c r="BG17" i="2" s="1"/>
  <c r="BN17" i="2"/>
  <c r="Q161" i="23"/>
  <c r="J161" i="23"/>
  <c r="C44" i="20"/>
  <c r="H44" i="20" s="1"/>
  <c r="BU64" i="2"/>
  <c r="CC64" i="2" s="1"/>
  <c r="BZ90" i="2"/>
  <c r="BL18" i="2"/>
  <c r="AB545" i="2"/>
  <c r="AB544" i="2" s="1"/>
  <c r="G158" i="23"/>
  <c r="E10" i="2"/>
  <c r="AQ43" i="5"/>
  <c r="BE43" i="5" s="1"/>
  <c r="BL12" i="5" s="1"/>
  <c r="D40" i="5"/>
  <c r="AK10" i="5" s="1"/>
  <c r="AL10" i="5" s="1"/>
  <c r="AR40" i="5"/>
  <c r="AZ40" i="5" s="1"/>
  <c r="BL33" i="5" s="1"/>
  <c r="AB410" i="2"/>
  <c r="AB409" i="2" s="1"/>
  <c r="F162" i="23"/>
  <c r="BH48" i="2"/>
  <c r="P74" i="2"/>
  <c r="BE51" i="2"/>
  <c r="BH28" i="2"/>
  <c r="I341" i="2"/>
  <c r="G77" i="5" s="1"/>
  <c r="H77" i="5" s="1"/>
  <c r="BU100" i="2"/>
  <c r="AC72" i="2"/>
  <c r="AD72" i="2" s="1"/>
  <c r="BZ100" i="2"/>
  <c r="BL47" i="2"/>
  <c r="M494" i="2"/>
  <c r="BI52" i="2" s="1"/>
  <c r="BP52" i="2"/>
  <c r="P202" i="2"/>
  <c r="BF47" i="2"/>
  <c r="M395" i="2"/>
  <c r="CB105" i="2"/>
  <c r="BN62" i="2"/>
  <c r="P391" i="2"/>
  <c r="Q390" i="2" s="1"/>
  <c r="AF394" i="2" s="1"/>
  <c r="BG61" i="2"/>
  <c r="M213" i="2"/>
  <c r="M496" i="2"/>
  <c r="BI54" i="2" s="1"/>
  <c r="BH54" i="2" s="1"/>
  <c r="BP54" i="2"/>
  <c r="P75" i="2"/>
  <c r="P73" i="2" s="1"/>
  <c r="BS33" i="2" s="1"/>
  <c r="BZ33" i="2" s="1"/>
  <c r="Q111" i="2"/>
  <c r="AP114" i="2" s="1"/>
  <c r="M344" i="2"/>
  <c r="BG50" i="2" s="1"/>
  <c r="BH50" i="2" s="1"/>
  <c r="BN50" i="2"/>
  <c r="BO50" i="2" s="1"/>
  <c r="M506" i="2"/>
  <c r="BI56" i="2" s="1"/>
  <c r="BP56" i="2"/>
  <c r="AC256" i="2"/>
  <c r="AD256" i="2" s="1"/>
  <c r="AM256" i="2" s="1"/>
  <c r="AM281" i="2" s="1"/>
  <c r="D49" i="20" s="1"/>
  <c r="P256" i="2"/>
  <c r="BF62" i="2"/>
  <c r="M437" i="2"/>
  <c r="BI17" i="2" s="1"/>
  <c r="BP17" i="2"/>
  <c r="AC406" i="2"/>
  <c r="AD195" i="2"/>
  <c r="AD258" i="2"/>
  <c r="AG258" i="2" s="1"/>
  <c r="AG281" i="2" s="1"/>
  <c r="P31" i="2"/>
  <c r="P30" i="2" s="1"/>
  <c r="BS23" i="2" s="1"/>
  <c r="BZ23" i="2" s="1"/>
  <c r="BE23" i="2"/>
  <c r="BO54" i="2"/>
  <c r="AD57" i="20"/>
  <c r="AI57" i="20" s="1"/>
  <c r="AI42" i="20"/>
  <c r="M470" i="2"/>
  <c r="BI39" i="2" s="1"/>
  <c r="BP39" i="2"/>
  <c r="BO39" i="2" s="1"/>
  <c r="D58" i="5"/>
  <c r="AK19" i="5" s="1"/>
  <c r="AM19" i="5" s="1"/>
  <c r="AR58" i="5"/>
  <c r="AZ58" i="5" s="1"/>
  <c r="BL78" i="5" s="1"/>
  <c r="H51" i="5"/>
  <c r="AT51" i="5"/>
  <c r="BA51" i="5" s="1"/>
  <c r="BM76" i="5" s="1"/>
  <c r="BH15" i="2"/>
  <c r="AM116" i="2"/>
  <c r="AD115" i="2"/>
  <c r="C81" i="20" s="1"/>
  <c r="H81" i="20" s="1"/>
  <c r="M467" i="2"/>
  <c r="BI36" i="2" s="1"/>
  <c r="BH36" i="2" s="1"/>
  <c r="BP36" i="2"/>
  <c r="BO36" i="2" s="1"/>
  <c r="M354" i="2"/>
  <c r="BG52" i="2" s="1"/>
  <c r="BH52" i="2" s="1"/>
  <c r="BN52" i="2"/>
  <c r="BO52" i="2" s="1"/>
  <c r="AC84" i="2"/>
  <c r="AD84" i="2" s="1"/>
  <c r="BZ101" i="2"/>
  <c r="BL51" i="2"/>
  <c r="L12" i="2"/>
  <c r="I243" i="2"/>
  <c r="E82" i="5" s="1"/>
  <c r="F82" i="5" s="1"/>
  <c r="BT103" i="2"/>
  <c r="P404" i="2"/>
  <c r="P403" i="2" s="1"/>
  <c r="BU38" i="2" s="1"/>
  <c r="BG64" i="2"/>
  <c r="BZ94" i="2"/>
  <c r="BL40" i="2"/>
  <c r="AB405" i="2"/>
  <c r="AB404" i="2" s="1"/>
  <c r="F158" i="23"/>
  <c r="L158" i="23" s="1"/>
  <c r="AD119" i="2"/>
  <c r="C82" i="20" s="1"/>
  <c r="H82" i="20" s="1"/>
  <c r="AM120" i="2"/>
  <c r="P263" i="2"/>
  <c r="BT38" i="2" s="1"/>
  <c r="CA38" i="2" s="1"/>
  <c r="Q264" i="2"/>
  <c r="J160" i="23"/>
  <c r="Q160" i="23"/>
  <c r="BO57" i="2"/>
  <c r="CA102" i="2"/>
  <c r="BM55" i="2"/>
  <c r="H40" i="5"/>
  <c r="AT40" i="5"/>
  <c r="BA40" i="5" s="1"/>
  <c r="BM33" i="5" s="1"/>
  <c r="CA94" i="2"/>
  <c r="BM40" i="2"/>
  <c r="M455" i="2"/>
  <c r="BI28" i="2" s="1"/>
  <c r="BP28" i="2"/>
  <c r="BO28" i="2" s="1"/>
  <c r="M452" i="2"/>
  <c r="BI25" i="2" s="1"/>
  <c r="BH25" i="2" s="1"/>
  <c r="BP25" i="2"/>
  <c r="BO25" i="2" s="1"/>
  <c r="P385" i="2"/>
  <c r="BG60" i="2"/>
  <c r="P400" i="2"/>
  <c r="Q400" i="2" s="1"/>
  <c r="Q399" i="2" s="1"/>
  <c r="BG63" i="2"/>
  <c r="M366" i="2"/>
  <c r="BG56" i="2" s="1"/>
  <c r="BH56" i="2" s="1"/>
  <c r="BN56" i="2"/>
  <c r="BO56" i="2" s="1"/>
  <c r="M483" i="2"/>
  <c r="BI49" i="2" s="1"/>
  <c r="BP49" i="2"/>
  <c r="AD259" i="2"/>
  <c r="D82" i="20" s="1"/>
  <c r="I82" i="20" s="1"/>
  <c r="Q110" i="2"/>
  <c r="AF114" i="2" s="1"/>
  <c r="CB108" i="2"/>
  <c r="BN65" i="2"/>
  <c r="D55" i="5"/>
  <c r="AK18" i="5" s="1"/>
  <c r="AL18" i="5" s="1"/>
  <c r="AR55" i="5"/>
  <c r="AZ55" i="5" s="1"/>
  <c r="BL77" i="5" s="1"/>
  <c r="P269" i="2"/>
  <c r="P268" i="2" s="1"/>
  <c r="BT39" i="2" s="1"/>
  <c r="CA39" i="2" s="1"/>
  <c r="BF65" i="2"/>
  <c r="M507" i="2"/>
  <c r="BI57" i="2" s="1"/>
  <c r="BH57" i="2" s="1"/>
  <c r="BP57" i="2"/>
  <c r="AD126" i="2"/>
  <c r="AH126" i="2" s="1"/>
  <c r="AC125" i="2"/>
  <c r="AQ141" i="2"/>
  <c r="C51" i="20" s="1"/>
  <c r="H51" i="20" s="1"/>
  <c r="BH39" i="2"/>
  <c r="AB552" i="2"/>
  <c r="AB551" i="2" s="1"/>
  <c r="AC49" i="2"/>
  <c r="AC192" i="2"/>
  <c r="AD192" i="2" s="1"/>
  <c r="AD193" i="2"/>
  <c r="AD335" i="2"/>
  <c r="AC334" i="2"/>
  <c r="M408" i="2"/>
  <c r="AC412" i="2"/>
  <c r="AD266" i="2"/>
  <c r="AH266" i="2" s="1"/>
  <c r="AC265" i="2"/>
  <c r="AD54" i="2"/>
  <c r="AH54" i="2" s="1"/>
  <c r="AC53" i="2"/>
  <c r="AD406" i="2"/>
  <c r="AH406" i="2" s="1"/>
  <c r="AC405" i="2"/>
  <c r="AB335" i="2"/>
  <c r="AB334" i="2" s="1"/>
  <c r="AA48" i="2"/>
  <c r="AB47" i="2"/>
  <c r="AA47" i="2" s="1"/>
  <c r="AD128" i="2"/>
  <c r="C84" i="20" s="1"/>
  <c r="H84" i="20" s="1"/>
  <c r="AI129" i="2"/>
  <c r="AD271" i="2"/>
  <c r="AH271" i="2" s="1"/>
  <c r="AC270" i="2"/>
  <c r="R158" i="23"/>
  <c r="K158" i="23"/>
  <c r="AR226" i="2"/>
  <c r="AR242" i="2"/>
  <c r="S170" i="2"/>
  <c r="AR231" i="2"/>
  <c r="AR227" i="2"/>
  <c r="K30" i="2"/>
  <c r="L48" i="23"/>
  <c r="AR237" i="2"/>
  <c r="T365" i="2"/>
  <c r="AR238" i="2"/>
  <c r="E68" i="23"/>
  <c r="AR229" i="2"/>
  <c r="AR236" i="2"/>
  <c r="AR235" i="2"/>
  <c r="AR241" i="2"/>
  <c r="AR234" i="2"/>
  <c r="AR239" i="2"/>
  <c r="AR228" i="2"/>
  <c r="K238" i="25"/>
  <c r="K253" i="25" s="1"/>
  <c r="AA84" i="2"/>
  <c r="AR233" i="2"/>
  <c r="AR232" i="2"/>
  <c r="AR240" i="2"/>
  <c r="D128" i="23"/>
  <c r="Q128" i="23" s="1"/>
  <c r="AA19" i="2"/>
  <c r="AA11" i="2"/>
  <c r="Z19" i="2"/>
  <c r="Z11" i="2"/>
  <c r="AB75" i="2"/>
  <c r="D122" i="23" s="1"/>
  <c r="AR230" i="2"/>
  <c r="AB74" i="2"/>
  <c r="AD399" i="2"/>
  <c r="E82" i="20" s="1"/>
  <c r="J82" i="20" s="1"/>
  <c r="G30" i="2"/>
  <c r="AC38" i="2"/>
  <c r="AC37" i="2"/>
  <c r="AA398" i="2"/>
  <c r="G37" i="23"/>
  <c r="N37" i="23" s="1"/>
  <c r="M495" i="2"/>
  <c r="BI53" i="2" s="1"/>
  <c r="BH53" i="2" s="1"/>
  <c r="AD559" i="2"/>
  <c r="AQ559" i="2" s="1"/>
  <c r="H331" i="2"/>
  <c r="BU94" i="2" s="1"/>
  <c r="R152" i="23"/>
  <c r="F152" i="23"/>
  <c r="L152" i="23" s="1"/>
  <c r="W398" i="2"/>
  <c r="F331" i="2"/>
  <c r="AB396" i="2"/>
  <c r="F150" i="23" s="1"/>
  <c r="AD103" i="2"/>
  <c r="C79" i="20" s="1"/>
  <c r="H79" i="20" s="1"/>
  <c r="AA257" i="2"/>
  <c r="AA256" i="2"/>
  <c r="W84" i="2"/>
  <c r="AB80" i="2"/>
  <c r="D127" i="23" s="1"/>
  <c r="AB538" i="2"/>
  <c r="AB536" i="2" s="1"/>
  <c r="R71" i="5"/>
  <c r="AM18" i="5"/>
  <c r="I293" i="2"/>
  <c r="N53" i="5"/>
  <c r="AM400" i="2"/>
  <c r="AB212" i="2"/>
  <c r="AB542" i="2"/>
  <c r="AB540" i="2" s="1"/>
  <c r="S243" i="2"/>
  <c r="I331" i="2"/>
  <c r="F159" i="23"/>
  <c r="S159" i="23" s="1"/>
  <c r="D493" i="2"/>
  <c r="K51" i="5" s="1"/>
  <c r="AV51" i="5" s="1"/>
  <c r="BB51" i="5" s="1"/>
  <c r="BN76" i="5" s="1"/>
  <c r="W407" i="2"/>
  <c r="I385" i="2"/>
  <c r="S391" i="2"/>
  <c r="S389" i="2" s="1"/>
  <c r="F157" i="23"/>
  <c r="S157" i="23" s="1"/>
  <c r="S290" i="2"/>
  <c r="R472" i="2"/>
  <c r="R471" i="2" s="1"/>
  <c r="I529" i="2"/>
  <c r="J13" i="5"/>
  <c r="Q142" i="23"/>
  <c r="D433" i="2"/>
  <c r="I433" i="2" s="1"/>
  <c r="K143" i="23"/>
  <c r="H152" i="2"/>
  <c r="G152" i="2" s="1"/>
  <c r="I183" i="2"/>
  <c r="Q109" i="2"/>
  <c r="AD255" i="2"/>
  <c r="D81" i="20" s="1"/>
  <c r="I81" i="20" s="1"/>
  <c r="E249" i="2"/>
  <c r="L47" i="23"/>
  <c r="K539" i="2"/>
  <c r="E226" i="2"/>
  <c r="AD531" i="2"/>
  <c r="AP531" i="2" s="1"/>
  <c r="K157" i="23"/>
  <c r="E216" i="2"/>
  <c r="I473" i="2"/>
  <c r="F471" i="2" s="1"/>
  <c r="S58" i="5"/>
  <c r="Q96" i="23"/>
  <c r="Q391" i="2"/>
  <c r="AP394" i="2" s="1"/>
  <c r="J60" i="5"/>
  <c r="K456" i="2"/>
  <c r="I384" i="2"/>
  <c r="K145" i="23"/>
  <c r="E156" i="23"/>
  <c r="K156" i="23" s="1"/>
  <c r="Q143" i="23"/>
  <c r="N61" i="5"/>
  <c r="H365" i="2"/>
  <c r="J51" i="5"/>
  <c r="T70" i="5" s="1"/>
  <c r="AD532" i="2"/>
  <c r="AF532" i="2" s="1"/>
  <c r="T73" i="2"/>
  <c r="M529" i="2"/>
  <c r="F365" i="2"/>
  <c r="F24" i="23" s="1"/>
  <c r="N42" i="5"/>
  <c r="D525" i="2"/>
  <c r="R525" i="2" s="1"/>
  <c r="F32" i="5"/>
  <c r="K243" i="2"/>
  <c r="AB224" i="2"/>
  <c r="E128" i="23" s="1"/>
  <c r="K128" i="23" s="1"/>
  <c r="AD534" i="2"/>
  <c r="K535" i="2"/>
  <c r="AC398" i="2"/>
  <c r="AD398" i="2" s="1"/>
  <c r="AG398" i="2" s="1"/>
  <c r="Q144" i="23"/>
  <c r="K213" i="2"/>
  <c r="P203" i="2"/>
  <c r="P201" i="2" s="1"/>
  <c r="BT32" i="2" s="1"/>
  <c r="CA32" i="2" s="1"/>
  <c r="AD530" i="2"/>
  <c r="AH530" i="2" s="1"/>
  <c r="D65" i="23"/>
  <c r="R531" i="2"/>
  <c r="R529" i="2" s="1"/>
  <c r="R385" i="2"/>
  <c r="M435" i="2"/>
  <c r="BI15" i="2" s="1"/>
  <c r="L50" i="23"/>
  <c r="S72" i="5"/>
  <c r="E225" i="2"/>
  <c r="E203" i="2"/>
  <c r="R389" i="2"/>
  <c r="K144" i="23"/>
  <c r="AG420" i="2"/>
  <c r="M384" i="2"/>
  <c r="N15" i="5"/>
  <c r="E214" i="2"/>
  <c r="E243" i="2"/>
  <c r="P214" i="2"/>
  <c r="G243" i="2"/>
  <c r="L25" i="23" s="1"/>
  <c r="R144" i="23" s="1"/>
  <c r="AD389" i="2"/>
  <c r="E80" i="20" s="1"/>
  <c r="R159" i="23"/>
  <c r="W102" i="2"/>
  <c r="K12" i="2"/>
  <c r="BL12" i="2" s="1"/>
  <c r="J104" i="2"/>
  <c r="S60" i="5"/>
  <c r="I435" i="2"/>
  <c r="E255" i="2"/>
  <c r="C67" i="5"/>
  <c r="S66" i="5"/>
  <c r="S59" i="5"/>
  <c r="E227" i="2"/>
  <c r="AD109" i="2"/>
  <c r="C80" i="20" s="1"/>
  <c r="H80" i="20" s="1"/>
  <c r="J63" i="2"/>
  <c r="J105" i="2"/>
  <c r="R384" i="2"/>
  <c r="D383" i="2"/>
  <c r="AD386" i="2" s="1"/>
  <c r="AF386" i="2" s="1"/>
  <c r="E202" i="2"/>
  <c r="S61" i="5"/>
  <c r="E259" i="2"/>
  <c r="E268" i="2"/>
  <c r="G213" i="2"/>
  <c r="L23" i="23" s="1"/>
  <c r="S67" i="5"/>
  <c r="E201" i="2"/>
  <c r="F67" i="5"/>
  <c r="S154" i="23"/>
  <c r="J59" i="5"/>
  <c r="S64" i="5"/>
  <c r="S63" i="5"/>
  <c r="E244" i="2"/>
  <c r="M85" i="2"/>
  <c r="S153" i="23"/>
  <c r="L153" i="23"/>
  <c r="I213" i="2"/>
  <c r="T201" i="2" s="1"/>
  <c r="AR209" i="2" s="1"/>
  <c r="E245" i="2"/>
  <c r="E263" i="2"/>
  <c r="E215" i="2"/>
  <c r="S57" i="5"/>
  <c r="E213" i="2"/>
  <c r="S65" i="5"/>
  <c r="K201" i="2"/>
  <c r="E153" i="23"/>
  <c r="AA260" i="2"/>
  <c r="D323" i="2"/>
  <c r="D321" i="2" s="1"/>
  <c r="I321" i="2" s="1"/>
  <c r="G85" i="5" s="1"/>
  <c r="Q101" i="23"/>
  <c r="G201" i="2"/>
  <c r="L22" i="23" s="1"/>
  <c r="AE28" i="21"/>
  <c r="D181" i="2"/>
  <c r="S38" i="5" s="1"/>
  <c r="Q98" i="23"/>
  <c r="R21" i="5"/>
  <c r="K155" i="23"/>
  <c r="R155" i="23"/>
  <c r="E154" i="23"/>
  <c r="AA261" i="2"/>
  <c r="J123" i="2"/>
  <c r="J109" i="2"/>
  <c r="J119" i="2"/>
  <c r="E11" i="2"/>
  <c r="J76" i="2"/>
  <c r="J128" i="2"/>
  <c r="J115" i="2"/>
  <c r="J62" i="2"/>
  <c r="C12" i="5"/>
  <c r="Q218" i="25"/>
  <c r="E233" i="25" s="1"/>
  <c r="E8" i="2"/>
  <c r="E9" i="2"/>
  <c r="R25" i="5"/>
  <c r="AB533" i="2"/>
  <c r="G148" i="23"/>
  <c r="W532" i="2"/>
  <c r="J87" i="2"/>
  <c r="J85" i="2" s="1"/>
  <c r="E6" i="2"/>
  <c r="J75" i="2"/>
  <c r="J64" i="2"/>
  <c r="J74" i="2"/>
  <c r="Q211" i="25"/>
  <c r="K210" i="25" s="1"/>
  <c r="W210" i="25" s="1"/>
  <c r="AI210" i="25" s="1"/>
  <c r="AI211" i="25" s="1"/>
  <c r="E18" i="25" s="1"/>
  <c r="M146" i="23"/>
  <c r="T146" i="23"/>
  <c r="F26" i="5"/>
  <c r="I173" i="2"/>
  <c r="M173" i="2"/>
  <c r="BF26" i="2" s="1"/>
  <c r="D171" i="2"/>
  <c r="D288" i="2"/>
  <c r="I148" i="2"/>
  <c r="F8" i="5"/>
  <c r="M148" i="2"/>
  <c r="BF8" i="2" s="1"/>
  <c r="D147" i="2"/>
  <c r="S76" i="5"/>
  <c r="D313" i="2"/>
  <c r="F10" i="5"/>
  <c r="I150" i="2"/>
  <c r="M150" i="2"/>
  <c r="BF10" i="2" s="1"/>
  <c r="D290" i="2"/>
  <c r="R6" i="2"/>
  <c r="R56" i="2" s="1"/>
  <c r="M7" i="2"/>
  <c r="BE7" i="2" s="1"/>
  <c r="F9" i="5"/>
  <c r="I149" i="2"/>
  <c r="D289" i="2"/>
  <c r="M149" i="2"/>
  <c r="BF9" i="2" s="1"/>
  <c r="D291" i="2"/>
  <c r="F11" i="5"/>
  <c r="M151" i="2"/>
  <c r="BF11" i="2" s="1"/>
  <c r="I151" i="2"/>
  <c r="S70" i="5"/>
  <c r="Q249" i="2"/>
  <c r="AD280" i="2"/>
  <c r="AD273" i="2" s="1"/>
  <c r="D85" i="20" s="1"/>
  <c r="I85" i="20" s="1"/>
  <c r="M152" i="2"/>
  <c r="BF12" i="2" s="1"/>
  <c r="F21" i="5"/>
  <c r="R166" i="2"/>
  <c r="H165" i="2"/>
  <c r="D165" i="2"/>
  <c r="M167" i="2"/>
  <c r="I167" i="2"/>
  <c r="I7" i="2"/>
  <c r="I6" i="2" s="1"/>
  <c r="AD11" i="2" s="1"/>
  <c r="AK11" i="2" s="1"/>
  <c r="H7" i="2"/>
  <c r="K150" i="25"/>
  <c r="P61" i="2"/>
  <c r="BS32" i="2" s="1"/>
  <c r="BZ32" i="2" s="1"/>
  <c r="S146" i="2"/>
  <c r="K124" i="25"/>
  <c r="K146" i="25" s="1"/>
  <c r="R23" i="5"/>
  <c r="E28" i="2"/>
  <c r="R26" i="5"/>
  <c r="R27" i="5"/>
  <c r="E31" i="2"/>
  <c r="E42" i="2"/>
  <c r="E17" i="2"/>
  <c r="E13" i="2"/>
  <c r="E43" i="2"/>
  <c r="E53" i="2"/>
  <c r="R22" i="5"/>
  <c r="E27" i="2"/>
  <c r="E50" i="2"/>
  <c r="E32" i="2"/>
  <c r="E48" i="2"/>
  <c r="E47" i="2"/>
  <c r="E49" i="2"/>
  <c r="E33" i="2"/>
  <c r="E45" i="2"/>
  <c r="E15" i="2"/>
  <c r="E35" i="2"/>
  <c r="E36" i="2"/>
  <c r="E25" i="2"/>
  <c r="E26" i="2"/>
  <c r="R28" i="5"/>
  <c r="E41" i="2"/>
  <c r="E44" i="2"/>
  <c r="E14" i="2"/>
  <c r="E34" i="2"/>
  <c r="E7" i="2"/>
  <c r="E12" i="2"/>
  <c r="E52" i="2"/>
  <c r="E16" i="2"/>
  <c r="AA149" i="2"/>
  <c r="AB155" i="2"/>
  <c r="Q426" i="2"/>
  <c r="J14" i="5"/>
  <c r="M294" i="2"/>
  <c r="BG14" i="2" s="1"/>
  <c r="I294" i="2"/>
  <c r="D434" i="2"/>
  <c r="K543" i="2"/>
  <c r="G54" i="23"/>
  <c r="N54" i="23" s="1"/>
  <c r="Q450" i="2"/>
  <c r="S451" i="2"/>
  <c r="G55" i="23"/>
  <c r="N55" i="23" s="1"/>
  <c r="K548" i="2"/>
  <c r="K292" i="2"/>
  <c r="BN12" i="2" s="1"/>
  <c r="D292" i="2"/>
  <c r="Q103" i="2"/>
  <c r="AP31" i="2"/>
  <c r="AP56" i="2" s="1"/>
  <c r="AD40" i="2"/>
  <c r="D102" i="23"/>
  <c r="AC40" i="2"/>
  <c r="W40" i="2"/>
  <c r="AO275" i="2"/>
  <c r="AF280" i="2"/>
  <c r="AI275" i="2"/>
  <c r="Y88" i="2"/>
  <c r="Y97" i="2" s="1"/>
  <c r="Y35" i="2"/>
  <c r="Y18" i="2"/>
  <c r="W72" i="2"/>
  <c r="AB65" i="2"/>
  <c r="AB63" i="2"/>
  <c r="AA72" i="2"/>
  <c r="D120" i="23"/>
  <c r="AB62" i="2"/>
  <c r="AB202" i="2" s="1"/>
  <c r="AB68" i="2"/>
  <c r="AB69" i="2" s="1"/>
  <c r="AB24" i="20"/>
  <c r="AG24" i="20" s="1"/>
  <c r="AG10" i="20"/>
  <c r="AB38" i="20"/>
  <c r="K472" i="2"/>
  <c r="BP41" i="2" s="1"/>
  <c r="BO41" i="2" s="1"/>
  <c r="G45" i="23"/>
  <c r="N45" i="23" s="1"/>
  <c r="Q24" i="2"/>
  <c r="K116" i="25"/>
  <c r="K138" i="25" s="1"/>
  <c r="M333" i="2"/>
  <c r="BG42" i="2" s="1"/>
  <c r="AC77" i="2"/>
  <c r="AD77" i="2" s="1"/>
  <c r="AI77" i="2" s="1"/>
  <c r="Z77" i="2"/>
  <c r="AA77" i="2"/>
  <c r="D124" i="23"/>
  <c r="P413" i="2"/>
  <c r="BU40" i="2" s="1"/>
  <c r="P554" i="2"/>
  <c r="AD415" i="2"/>
  <c r="AD418" i="2"/>
  <c r="AB439" i="2"/>
  <c r="Z430" i="2"/>
  <c r="Z439" i="2" s="1"/>
  <c r="AA430" i="2"/>
  <c r="AA439" i="2" s="1"/>
  <c r="G88" i="23"/>
  <c r="M88" i="23" s="1"/>
  <c r="W430" i="2"/>
  <c r="Q224" i="25"/>
  <c r="AC209" i="25"/>
  <c r="J141" i="23"/>
  <c r="Q141" i="23"/>
  <c r="Y78" i="2"/>
  <c r="Y94" i="2"/>
  <c r="Y64" i="2"/>
  <c r="AB64" i="2" s="1"/>
  <c r="Y34" i="2"/>
  <c r="AB34" i="2" s="1"/>
  <c r="Y76" i="2"/>
  <c r="AB76" i="2" s="1"/>
  <c r="Y66" i="2"/>
  <c r="Y67" i="2" s="1"/>
  <c r="Y71" i="2" s="1"/>
  <c r="AD24" i="2"/>
  <c r="C67" i="20" s="1"/>
  <c r="H67" i="20" s="1"/>
  <c r="AO278" i="2"/>
  <c r="AH278" i="2"/>
  <c r="S452" i="2"/>
  <c r="AF102" i="2"/>
  <c r="AJ102" i="2"/>
  <c r="AE102" i="2"/>
  <c r="J87" i="23"/>
  <c r="K473" i="2"/>
  <c r="G46" i="23"/>
  <c r="N46" i="23" s="1"/>
  <c r="I296" i="2"/>
  <c r="J16" i="5"/>
  <c r="D436" i="2"/>
  <c r="M296" i="2"/>
  <c r="BG16" i="2" s="1"/>
  <c r="M191" i="2"/>
  <c r="BF40" i="2" s="1"/>
  <c r="P192" i="2"/>
  <c r="F151" i="23"/>
  <c r="AA397" i="2"/>
  <c r="K151" i="23"/>
  <c r="R151" i="23"/>
  <c r="R150" i="23"/>
  <c r="K150" i="23"/>
  <c r="AF195" i="2"/>
  <c r="AB352" i="2"/>
  <c r="AB348" i="2" s="1"/>
  <c r="AB349" i="2" s="1"/>
  <c r="L481" i="2"/>
  <c r="G47" i="23" s="1"/>
  <c r="G341" i="2"/>
  <c r="M22" i="23" s="1"/>
  <c r="K341" i="2"/>
  <c r="K47" i="5"/>
  <c r="F481" i="2"/>
  <c r="G22" i="23" s="1"/>
  <c r="E106" i="23"/>
  <c r="R109" i="23"/>
  <c r="R70" i="5"/>
  <c r="Q243" i="2"/>
  <c r="F78" i="5"/>
  <c r="I481" i="2"/>
  <c r="K77" i="5" s="1"/>
  <c r="R539" i="2"/>
  <c r="S540" i="2"/>
  <c r="S539" i="2" s="1"/>
  <c r="AL19" i="5"/>
  <c r="AM17" i="5"/>
  <c r="AL17" i="5"/>
  <c r="K353" i="2"/>
  <c r="AB364" i="2"/>
  <c r="F48" i="23"/>
  <c r="E141" i="23"/>
  <c r="W242" i="2"/>
  <c r="I353" i="2"/>
  <c r="G353" i="2"/>
  <c r="M23" i="23" s="1"/>
  <c r="N55" i="5"/>
  <c r="K55" i="5"/>
  <c r="K188" i="2"/>
  <c r="BM37" i="2" s="1"/>
  <c r="L186" i="2"/>
  <c r="E44" i="23"/>
  <c r="H55" i="5"/>
  <c r="H328" i="2"/>
  <c r="I328" i="2" s="1"/>
  <c r="L328" i="2"/>
  <c r="R524" i="2"/>
  <c r="I524" i="2"/>
  <c r="M524" i="2"/>
  <c r="BI59" i="2" s="1"/>
  <c r="N59" i="5"/>
  <c r="L49" i="23"/>
  <c r="U76" i="5"/>
  <c r="L493" i="2"/>
  <c r="F493" i="2"/>
  <c r="G23" i="23" s="1"/>
  <c r="H493" i="2"/>
  <c r="BW101" i="2" s="1"/>
  <c r="T77" i="5"/>
  <c r="T71" i="5"/>
  <c r="AC242" i="2"/>
  <c r="AD242" i="2" s="1"/>
  <c r="AK242" i="2" s="1"/>
  <c r="M225" i="2"/>
  <c r="BF55" i="2" s="1"/>
  <c r="M47" i="23"/>
  <c r="AB382" i="2"/>
  <c r="F49" i="23"/>
  <c r="R78" i="5"/>
  <c r="H505" i="2"/>
  <c r="BW102" i="2" s="1"/>
  <c r="F505" i="2"/>
  <c r="G24" i="23" s="1"/>
  <c r="L505" i="2"/>
  <c r="F186" i="2"/>
  <c r="I186" i="2"/>
  <c r="H186" i="2"/>
  <c r="BT93" i="2" s="1"/>
  <c r="G46" i="2"/>
  <c r="N40" i="5"/>
  <c r="K40" i="5"/>
  <c r="AV40" i="5" s="1"/>
  <c r="BB40" i="5" s="1"/>
  <c r="BN33" i="5" s="1"/>
  <c r="R108" i="23"/>
  <c r="K108" i="23"/>
  <c r="R548" i="2"/>
  <c r="S549" i="2"/>
  <c r="S548" i="2" s="1"/>
  <c r="K163" i="23"/>
  <c r="R163" i="23"/>
  <c r="W412" i="2"/>
  <c r="F163" i="23"/>
  <c r="J159" i="23"/>
  <c r="Q159" i="23"/>
  <c r="Q123" i="2"/>
  <c r="Q129" i="2"/>
  <c r="Q128" i="2" s="1"/>
  <c r="J109" i="23"/>
  <c r="Q109" i="23"/>
  <c r="D468" i="2"/>
  <c r="I469" i="2"/>
  <c r="U15" i="5"/>
  <c r="M469" i="2"/>
  <c r="BI38" i="2" s="1"/>
  <c r="BH38" i="2" s="1"/>
  <c r="N38" i="5"/>
  <c r="D37" i="5"/>
  <c r="AB189" i="2"/>
  <c r="S39" i="5"/>
  <c r="C35" i="5"/>
  <c r="AR35" i="5" s="1"/>
  <c r="AZ35" i="5" s="1"/>
  <c r="BL32" i="5" s="1"/>
  <c r="F35" i="5"/>
  <c r="W49" i="2"/>
  <c r="D105" i="23"/>
  <c r="D326" i="2"/>
  <c r="J37" i="5"/>
  <c r="G37" i="5"/>
  <c r="R328" i="2"/>
  <c r="R327" i="2"/>
  <c r="R186" i="2"/>
  <c r="P46" i="2"/>
  <c r="BS25" i="2" s="1"/>
  <c r="BZ25" i="2" s="1"/>
  <c r="M448" i="2"/>
  <c r="BI22" i="2" s="1"/>
  <c r="BH22" i="2" s="1"/>
  <c r="N22" i="5"/>
  <c r="K46" i="2"/>
  <c r="M328" i="2"/>
  <c r="BG37" i="2" s="1"/>
  <c r="D44" i="20" l="1"/>
  <c r="I44" i="20" s="1"/>
  <c r="BU65" i="2"/>
  <c r="CC65" i="2" s="1"/>
  <c r="AC547" i="2"/>
  <c r="AC546" i="2" s="1"/>
  <c r="CD107" i="2"/>
  <c r="CC107" i="2" s="1"/>
  <c r="BP64" i="2"/>
  <c r="BO64" i="2" s="1"/>
  <c r="P166" i="2"/>
  <c r="Q165" i="2" s="1"/>
  <c r="BF21" i="2"/>
  <c r="D67" i="5"/>
  <c r="AK25" i="5" s="1"/>
  <c r="AM25" i="5" s="1"/>
  <c r="AR67" i="5"/>
  <c r="AZ67" i="5" s="1"/>
  <c r="BL84" i="5" s="1"/>
  <c r="I365" i="2"/>
  <c r="G78" i="5" s="1"/>
  <c r="H78" i="5" s="1"/>
  <c r="BU102" i="2"/>
  <c r="AC542" i="2"/>
  <c r="AD542" i="2" s="1"/>
  <c r="AG542" i="2" s="1"/>
  <c r="CD106" i="2"/>
  <c r="CC106" i="2" s="1"/>
  <c r="BP63" i="2"/>
  <c r="BO63" i="2" s="1"/>
  <c r="L47" i="5"/>
  <c r="AV47" i="5"/>
  <c r="BB47" i="5" s="1"/>
  <c r="BN75" i="5" s="1"/>
  <c r="D12" i="5"/>
  <c r="AR12" i="5"/>
  <c r="AZ12" i="5" s="1"/>
  <c r="BO17" i="2"/>
  <c r="BO42" i="2"/>
  <c r="D121" i="23"/>
  <c r="AB214" i="2"/>
  <c r="AB354" i="2" s="1"/>
  <c r="AB550" i="2"/>
  <c r="AB549" i="2" s="1"/>
  <c r="G162" i="23"/>
  <c r="Q269" i="2"/>
  <c r="Q268" i="2" s="1"/>
  <c r="Q263" i="2"/>
  <c r="P389" i="2"/>
  <c r="BU35" i="2" s="1"/>
  <c r="CB38" i="2"/>
  <c r="R72" i="5"/>
  <c r="CB101" i="2"/>
  <c r="BN51" i="2"/>
  <c r="I77" i="5"/>
  <c r="J77" i="5" s="1"/>
  <c r="M341" i="2"/>
  <c r="BG47" i="2" s="1"/>
  <c r="CB100" i="2"/>
  <c r="BN47" i="2"/>
  <c r="AF40" i="2"/>
  <c r="AK40" i="2"/>
  <c r="M141" i="2"/>
  <c r="N137" i="2" s="1"/>
  <c r="BE55" i="2"/>
  <c r="P213" i="2"/>
  <c r="BT33" i="2" s="1"/>
  <c r="CA33" i="2" s="1"/>
  <c r="M383" i="2"/>
  <c r="BG58" i="2" s="1"/>
  <c r="BG59" i="2"/>
  <c r="BH59" i="2" s="1"/>
  <c r="P399" i="2"/>
  <c r="BU37" i="2" s="1"/>
  <c r="M456" i="2"/>
  <c r="BI29" i="2" s="1"/>
  <c r="BP29" i="2"/>
  <c r="BO29" i="2" s="1"/>
  <c r="Q404" i="2"/>
  <c r="Q409" i="2" s="1"/>
  <c r="Q408" i="2" s="1"/>
  <c r="AM10" i="5"/>
  <c r="AP108" i="2"/>
  <c r="AP141" i="2" s="1"/>
  <c r="BZ91" i="2"/>
  <c r="BL23" i="2"/>
  <c r="P409" i="2"/>
  <c r="P408" i="2" s="1"/>
  <c r="BU39" i="2" s="1"/>
  <c r="BG65" i="2"/>
  <c r="AM141" i="2"/>
  <c r="C49" i="20" s="1"/>
  <c r="H49" i="20" s="1"/>
  <c r="P215" i="2"/>
  <c r="BF51" i="2"/>
  <c r="CC105" i="2"/>
  <c r="AF72" i="2"/>
  <c r="AK72" i="2"/>
  <c r="BL23" i="5"/>
  <c r="BL17" i="5"/>
  <c r="BL19" i="5"/>
  <c r="BL20" i="5"/>
  <c r="BL22" i="5"/>
  <c r="BL21" i="5"/>
  <c r="BL18" i="5"/>
  <c r="BH17" i="2"/>
  <c r="BH29" i="2"/>
  <c r="L55" i="5"/>
  <c r="AV55" i="5"/>
  <c r="BB55" i="5" s="1"/>
  <c r="BN77" i="5" s="1"/>
  <c r="AC212" i="2"/>
  <c r="AD212" i="2" s="1"/>
  <c r="CA100" i="2"/>
  <c r="BM47" i="2"/>
  <c r="AC538" i="2"/>
  <c r="AC536" i="2" s="1"/>
  <c r="AD536" i="2" s="1"/>
  <c r="CD105" i="2"/>
  <c r="BP62" i="2"/>
  <c r="BO62" i="2" s="1"/>
  <c r="P531" i="2"/>
  <c r="Q531" i="2" s="1"/>
  <c r="BI61" i="2"/>
  <c r="BH61" i="2" s="1"/>
  <c r="AB333" i="2"/>
  <c r="AB332" i="2" s="1"/>
  <c r="F108" i="23"/>
  <c r="AF84" i="2"/>
  <c r="AK84" i="2"/>
  <c r="P255" i="2"/>
  <c r="BT36" i="2" s="1"/>
  <c r="CA36" i="2" s="1"/>
  <c r="Q256" i="2"/>
  <c r="Q255" i="2" s="1"/>
  <c r="CB40" i="2"/>
  <c r="AC224" i="2"/>
  <c r="AD224" i="2" s="1"/>
  <c r="BM51" i="2"/>
  <c r="CA101" i="2"/>
  <c r="CC108" i="2"/>
  <c r="H37" i="5"/>
  <c r="AT37" i="5"/>
  <c r="BA37" i="5" s="1"/>
  <c r="M473" i="2"/>
  <c r="BI42" i="2" s="1"/>
  <c r="BH42" i="2" s="1"/>
  <c r="BP42" i="2"/>
  <c r="BZ93" i="2"/>
  <c r="BL35" i="2"/>
  <c r="AB342" i="2"/>
  <c r="C34" i="20"/>
  <c r="BX55" i="2"/>
  <c r="CF55" i="2" s="1"/>
  <c r="AC552" i="2"/>
  <c r="AC551" i="2" s="1"/>
  <c r="CD108" i="2"/>
  <c r="BP65" i="2"/>
  <c r="BO65" i="2" s="1"/>
  <c r="AC248" i="2"/>
  <c r="AD248" i="2" s="1"/>
  <c r="AF248" i="2" s="1"/>
  <c r="BM58" i="2"/>
  <c r="CA103" i="2"/>
  <c r="AA202" i="2"/>
  <c r="R77" i="5"/>
  <c r="AC124" i="2"/>
  <c r="AD124" i="2" s="1"/>
  <c r="AD125" i="2"/>
  <c r="AL125" i="2" s="1"/>
  <c r="P396" i="2"/>
  <c r="BG62" i="2"/>
  <c r="BO49" i="2"/>
  <c r="I51" i="20"/>
  <c r="AD191" i="2"/>
  <c r="AC269" i="2"/>
  <c r="AD269" i="2" s="1"/>
  <c r="AD270" i="2"/>
  <c r="AL270" i="2" s="1"/>
  <c r="AC52" i="2"/>
  <c r="AD52" i="2" s="1"/>
  <c r="AD53" i="2"/>
  <c r="AL53" i="2" s="1"/>
  <c r="AD412" i="2"/>
  <c r="AF412" i="2" s="1"/>
  <c r="AC411" i="2"/>
  <c r="AC475" i="2"/>
  <c r="AD475" i="2" s="1"/>
  <c r="AD552" i="2"/>
  <c r="AD265" i="2"/>
  <c r="AL265" i="2" s="1"/>
  <c r="AC264" i="2"/>
  <c r="AD264" i="2" s="1"/>
  <c r="AC333" i="2"/>
  <c r="AD334" i="2"/>
  <c r="AD49" i="2"/>
  <c r="AG49" i="2" s="1"/>
  <c r="AG56" i="2" s="1"/>
  <c r="AC48" i="2"/>
  <c r="AD547" i="2"/>
  <c r="AC404" i="2"/>
  <c r="AD404" i="2" s="1"/>
  <c r="AD405" i="2"/>
  <c r="AL405" i="2" s="1"/>
  <c r="AB475" i="2"/>
  <c r="AB474" i="2" s="1"/>
  <c r="W335" i="2"/>
  <c r="AR368" i="2"/>
  <c r="AR382" i="2"/>
  <c r="T505" i="2"/>
  <c r="AR522" i="2" s="1"/>
  <c r="AR374" i="2"/>
  <c r="F68" i="23"/>
  <c r="AR375" i="2"/>
  <c r="AR378" i="2"/>
  <c r="AR377" i="2"/>
  <c r="AR371" i="2"/>
  <c r="AR380" i="2"/>
  <c r="AR372" i="2"/>
  <c r="AR369" i="2"/>
  <c r="AR373" i="2"/>
  <c r="AR376" i="2"/>
  <c r="AR367" i="2"/>
  <c r="AR366" i="2"/>
  <c r="J128" i="23"/>
  <c r="AR370" i="2"/>
  <c r="M60" i="25" s="1"/>
  <c r="Y82" i="25" s="1"/>
  <c r="Y104" i="25" s="1"/>
  <c r="AR379" i="2"/>
  <c r="AR381" i="2"/>
  <c r="AC74" i="2"/>
  <c r="AD74" i="2" s="1"/>
  <c r="AH74" i="2" s="1"/>
  <c r="F156" i="23"/>
  <c r="L156" i="23" s="1"/>
  <c r="AR225" i="2"/>
  <c r="E174" i="23" s="1"/>
  <c r="AA75" i="2"/>
  <c r="S288" i="2"/>
  <c r="AC75" i="2"/>
  <c r="AD75" i="2" s="1"/>
  <c r="AL75" i="2" s="1"/>
  <c r="AA74" i="2"/>
  <c r="E282" i="25"/>
  <c r="AR81" i="2"/>
  <c r="K277" i="25" s="1"/>
  <c r="W293" i="25" s="1"/>
  <c r="Z80" i="2"/>
  <c r="Z81" i="2" s="1"/>
  <c r="AB81" i="2"/>
  <c r="G152" i="23"/>
  <c r="T152" i="23" s="1"/>
  <c r="W542" i="2"/>
  <c r="E113" i="23"/>
  <c r="R113" i="23" s="1"/>
  <c r="AB205" i="2"/>
  <c r="E116" i="23" s="1"/>
  <c r="R116" i="23" s="1"/>
  <c r="G331" i="2"/>
  <c r="N51" i="5"/>
  <c r="U70" i="5" s="1"/>
  <c r="F109" i="23"/>
  <c r="S109" i="23" s="1"/>
  <c r="K331" i="2"/>
  <c r="AC202" i="2"/>
  <c r="AD202" i="2" s="1"/>
  <c r="AH202" i="2" s="1"/>
  <c r="W212" i="2"/>
  <c r="AG560" i="2"/>
  <c r="E120" i="23"/>
  <c r="R120" i="23" s="1"/>
  <c r="AB537" i="2"/>
  <c r="AA537" i="2" s="1"/>
  <c r="AA396" i="2"/>
  <c r="N13" i="5"/>
  <c r="S152" i="23"/>
  <c r="AB82" i="2"/>
  <c r="AA80" i="2"/>
  <c r="AC80" i="2"/>
  <c r="AC82" i="2" s="1"/>
  <c r="AD82" i="2" s="1"/>
  <c r="AH82" i="2" s="1"/>
  <c r="W80" i="2"/>
  <c r="R143" i="23"/>
  <c r="AC540" i="2"/>
  <c r="AD540" i="2" s="1"/>
  <c r="AM540" i="2" s="1"/>
  <c r="W538" i="2"/>
  <c r="Q286" i="2"/>
  <c r="I152" i="2"/>
  <c r="L152" i="2" s="1"/>
  <c r="AR82" i="2"/>
  <c r="K279" i="25" s="1"/>
  <c r="W295" i="25" s="1"/>
  <c r="W311" i="25" s="1"/>
  <c r="AA538" i="2"/>
  <c r="S287" i="2"/>
  <c r="S289" i="2"/>
  <c r="AA542" i="2"/>
  <c r="AB203" i="2"/>
  <c r="AA203" i="2" s="1"/>
  <c r="G155" i="23"/>
  <c r="T155" i="23" s="1"/>
  <c r="L159" i="23"/>
  <c r="P384" i="2"/>
  <c r="Q385" i="2" s="1"/>
  <c r="S531" i="2"/>
  <c r="AA212" i="2"/>
  <c r="AB208" i="2"/>
  <c r="AB541" i="2"/>
  <c r="G154" i="23" s="1"/>
  <c r="H471" i="2"/>
  <c r="M535" i="2"/>
  <c r="N60" i="5"/>
  <c r="AD387" i="2"/>
  <c r="AI387" i="2" s="1"/>
  <c r="AC541" i="2"/>
  <c r="AD541" i="2" s="1"/>
  <c r="AQ541" i="2" s="1"/>
  <c r="D67" i="23"/>
  <c r="N123" i="2"/>
  <c r="D421" i="2"/>
  <c r="E389" i="2" s="1"/>
  <c r="M539" i="2"/>
  <c r="AR84" i="2"/>
  <c r="K281" i="25" s="1"/>
  <c r="W297" i="25" s="1"/>
  <c r="AI297" i="25" s="1"/>
  <c r="Q403" i="2"/>
  <c r="L471" i="2"/>
  <c r="M433" i="2"/>
  <c r="BI13" i="2" s="1"/>
  <c r="BH13" i="2" s="1"/>
  <c r="P529" i="2"/>
  <c r="BW35" i="2" s="1"/>
  <c r="CD35" i="2" s="1"/>
  <c r="L157" i="23"/>
  <c r="S158" i="23"/>
  <c r="R383" i="2"/>
  <c r="H383" i="2"/>
  <c r="BU103" i="2" s="1"/>
  <c r="I471" i="2"/>
  <c r="G365" i="2"/>
  <c r="M24" i="23" s="1"/>
  <c r="AD384" i="2"/>
  <c r="AH384" i="2" s="1"/>
  <c r="R156" i="23"/>
  <c r="W224" i="2"/>
  <c r="AB220" i="2"/>
  <c r="AC396" i="2"/>
  <c r="AD396" i="2" s="1"/>
  <c r="AM396" i="2" s="1"/>
  <c r="AM421" i="2" s="1"/>
  <c r="E49" i="20" s="1"/>
  <c r="K225" i="25"/>
  <c r="W225" i="25" s="1"/>
  <c r="K240" i="25" s="1"/>
  <c r="AD243" i="2"/>
  <c r="D79" i="20" s="1"/>
  <c r="I79" i="20" s="1"/>
  <c r="I525" i="2"/>
  <c r="F523" i="2" s="1"/>
  <c r="G25" i="23" s="1"/>
  <c r="Q389" i="2"/>
  <c r="AR76" i="2"/>
  <c r="K273" i="25" s="1"/>
  <c r="W289" i="25" s="1"/>
  <c r="AI289" i="25" s="1"/>
  <c r="AR74" i="2"/>
  <c r="K271" i="25" s="1"/>
  <c r="W287" i="25" s="1"/>
  <c r="AR80" i="2"/>
  <c r="K278" i="25" s="1"/>
  <c r="W294" i="25" s="1"/>
  <c r="AI294" i="25" s="1"/>
  <c r="R128" i="23"/>
  <c r="M525" i="2"/>
  <c r="D523" i="2"/>
  <c r="D561" i="2" s="1"/>
  <c r="E543" i="2" s="1"/>
  <c r="AR83" i="2"/>
  <c r="K280" i="25" s="1"/>
  <c r="W296" i="25" s="1"/>
  <c r="W312" i="25" s="1"/>
  <c r="AR78" i="2"/>
  <c r="K275" i="25" s="1"/>
  <c r="W291" i="25" s="1"/>
  <c r="W307" i="25" s="1"/>
  <c r="AR77" i="2"/>
  <c r="K274" i="25" s="1"/>
  <c r="W290" i="25" s="1"/>
  <c r="AI290" i="25" s="1"/>
  <c r="AR75" i="2"/>
  <c r="K272" i="25" s="1"/>
  <c r="W288" i="25" s="1"/>
  <c r="W304" i="25" s="1"/>
  <c r="AR79" i="2"/>
  <c r="K276" i="25" s="1"/>
  <c r="W292" i="25" s="1"/>
  <c r="W308" i="25" s="1"/>
  <c r="S385" i="2"/>
  <c r="AP534" i="2"/>
  <c r="F383" i="2"/>
  <c r="F25" i="23" s="1"/>
  <c r="L144" i="23" s="1"/>
  <c r="S530" i="2"/>
  <c r="AB215" i="2"/>
  <c r="E122" i="23" s="1"/>
  <c r="R122" i="23" s="1"/>
  <c r="AB217" i="2"/>
  <c r="E124" i="23" s="1"/>
  <c r="K124" i="23" s="1"/>
  <c r="AC214" i="2"/>
  <c r="J80" i="20"/>
  <c r="AG421" i="2"/>
  <c r="L383" i="2"/>
  <c r="AB388" i="2" s="1"/>
  <c r="F145" i="23" s="1"/>
  <c r="AA224" i="2"/>
  <c r="AD529" i="2"/>
  <c r="G80" i="20" s="1"/>
  <c r="F80" i="20" s="1"/>
  <c r="K80" i="20" s="1"/>
  <c r="D453" i="2"/>
  <c r="D451" i="2" s="1"/>
  <c r="G58" i="5"/>
  <c r="AL25" i="5"/>
  <c r="K365" i="2"/>
  <c r="J58" i="5"/>
  <c r="T78" i="5" s="1"/>
  <c r="AD385" i="2"/>
  <c r="AP385" i="2" s="1"/>
  <c r="R142" i="23"/>
  <c r="AC397" i="2"/>
  <c r="AD397" i="2" s="1"/>
  <c r="AQ397" i="2" s="1"/>
  <c r="AQ421" i="2" s="1"/>
  <c r="E51" i="20" s="1"/>
  <c r="J51" i="20" s="1"/>
  <c r="I80" i="20"/>
  <c r="P89" i="2"/>
  <c r="H292" i="2"/>
  <c r="G292" i="2" s="1"/>
  <c r="N128" i="2"/>
  <c r="R145" i="23"/>
  <c r="J103" i="2"/>
  <c r="Q166" i="2"/>
  <c r="Q164" i="2" s="1"/>
  <c r="I281" i="2"/>
  <c r="J214" i="2" s="1"/>
  <c r="R322" i="2"/>
  <c r="R321" i="2" s="1"/>
  <c r="I313" i="2"/>
  <c r="L311" i="2" s="1"/>
  <c r="F40" i="23" s="1"/>
  <c r="W211" i="25"/>
  <c r="E30" i="25" s="1"/>
  <c r="D463" i="2"/>
  <c r="I463" i="2" s="1"/>
  <c r="S33" i="5"/>
  <c r="E281" i="2"/>
  <c r="J30" i="5"/>
  <c r="N85" i="2"/>
  <c r="N86" i="2"/>
  <c r="C30" i="5"/>
  <c r="D432" i="2"/>
  <c r="N12" i="5" s="1"/>
  <c r="N75" i="2"/>
  <c r="N119" i="2"/>
  <c r="T38" i="5"/>
  <c r="I181" i="2"/>
  <c r="E85" i="5" s="1"/>
  <c r="F85" i="5" s="1"/>
  <c r="E159" i="5" s="1"/>
  <c r="E170" i="5" s="1"/>
  <c r="AC43" i="20" s="1"/>
  <c r="M181" i="2"/>
  <c r="BF30" i="2" s="1"/>
  <c r="P86" i="2"/>
  <c r="S384" i="2"/>
  <c r="P87" i="2"/>
  <c r="N61" i="2"/>
  <c r="F30" i="5"/>
  <c r="J32" i="5"/>
  <c r="I323" i="2"/>
  <c r="P88" i="2"/>
  <c r="U10" i="5"/>
  <c r="G30" i="5"/>
  <c r="S32" i="5"/>
  <c r="P164" i="2"/>
  <c r="BT22" i="2" s="1"/>
  <c r="CA22" i="2" s="1"/>
  <c r="K432" i="2"/>
  <c r="BP12" i="2" s="1"/>
  <c r="BO12" i="2" s="1"/>
  <c r="R182" i="2"/>
  <c r="R181" i="2" s="1"/>
  <c r="S30" i="5"/>
  <c r="J61" i="2"/>
  <c r="E30" i="2"/>
  <c r="S31" i="5"/>
  <c r="J73" i="2"/>
  <c r="R154" i="23"/>
  <c r="K154" i="23"/>
  <c r="K153" i="23"/>
  <c r="R153" i="23"/>
  <c r="T148" i="23"/>
  <c r="M148" i="23"/>
  <c r="Q226" i="25"/>
  <c r="Q227" i="25" s="1"/>
  <c r="R164" i="2"/>
  <c r="S166" i="2"/>
  <c r="L7" i="2"/>
  <c r="M6" i="2"/>
  <c r="BE6" i="2" s="1"/>
  <c r="M56" i="2"/>
  <c r="BE43" i="2" s="1"/>
  <c r="I147" i="2"/>
  <c r="H147" i="2"/>
  <c r="F171" i="2"/>
  <c r="E15" i="23" s="1"/>
  <c r="L171" i="2"/>
  <c r="H171" i="2"/>
  <c r="E56" i="2"/>
  <c r="K165" i="2"/>
  <c r="I165" i="2"/>
  <c r="L165" i="2"/>
  <c r="E51" i="2"/>
  <c r="H6" i="2"/>
  <c r="BS89" i="2" s="1"/>
  <c r="G7" i="2"/>
  <c r="AD165" i="2"/>
  <c r="AD167" i="2"/>
  <c r="AF167" i="2" s="1"/>
  <c r="D306" i="2"/>
  <c r="S165" i="2"/>
  <c r="F19" i="5"/>
  <c r="D307" i="2"/>
  <c r="C19" i="5"/>
  <c r="D164" i="2"/>
  <c r="AD166" i="2"/>
  <c r="AP166" i="2" s="1"/>
  <c r="AD168" i="2"/>
  <c r="AI168" i="2" s="1"/>
  <c r="D431" i="2"/>
  <c r="J11" i="5"/>
  <c r="I291" i="2"/>
  <c r="M291" i="2"/>
  <c r="BG11" i="2" s="1"/>
  <c r="D429" i="2"/>
  <c r="M289" i="2"/>
  <c r="BG9" i="2" s="1"/>
  <c r="J9" i="5"/>
  <c r="I289" i="2"/>
  <c r="C7" i="5"/>
  <c r="F7" i="5"/>
  <c r="D428" i="2"/>
  <c r="M288" i="2"/>
  <c r="BG8" i="2" s="1"/>
  <c r="D287" i="2"/>
  <c r="D286" i="2" s="1"/>
  <c r="I288" i="2"/>
  <c r="J8" i="5"/>
  <c r="AF420" i="2"/>
  <c r="M292" i="2"/>
  <c r="BG12" i="2" s="1"/>
  <c r="E24" i="2"/>
  <c r="E46" i="2"/>
  <c r="AD15" i="2"/>
  <c r="AI15" i="2" s="1"/>
  <c r="AD14" i="2"/>
  <c r="AI14" i="2" s="1"/>
  <c r="AD9" i="2"/>
  <c r="AF9" i="2" s="1"/>
  <c r="AD12" i="2"/>
  <c r="AE12" i="2" s="1"/>
  <c r="AD18" i="2"/>
  <c r="AH18" i="2" s="1"/>
  <c r="AD17" i="2"/>
  <c r="AH17" i="2" s="1"/>
  <c r="AD13" i="2"/>
  <c r="AJ13" i="2" s="1"/>
  <c r="AD8" i="2"/>
  <c r="AF8" i="2" s="1"/>
  <c r="AD16" i="2"/>
  <c r="C75" i="5"/>
  <c r="C74" i="5" s="1"/>
  <c r="I56" i="2"/>
  <c r="AD7" i="2"/>
  <c r="AN7" i="2" s="1"/>
  <c r="AN56" i="2" s="1"/>
  <c r="AD10" i="2"/>
  <c r="AD21" i="2"/>
  <c r="AD19" i="2"/>
  <c r="AD20" i="2"/>
  <c r="AH20" i="2" s="1"/>
  <c r="AD22" i="2"/>
  <c r="AL22" i="2" s="1"/>
  <c r="G165" i="2"/>
  <c r="L13" i="23" s="1"/>
  <c r="H164" i="2"/>
  <c r="D146" i="2"/>
  <c r="M290" i="2"/>
  <c r="BG10" i="2" s="1"/>
  <c r="J10" i="5"/>
  <c r="D430" i="2"/>
  <c r="I290" i="2"/>
  <c r="D311" i="2"/>
  <c r="J26" i="5"/>
  <c r="M313" i="2"/>
  <c r="M147" i="2"/>
  <c r="BF7" i="2" s="1"/>
  <c r="D170" i="2"/>
  <c r="F24" i="5"/>
  <c r="C24" i="5"/>
  <c r="D115" i="23"/>
  <c r="AA64" i="2"/>
  <c r="AC64" i="2"/>
  <c r="AD64" i="2" s="1"/>
  <c r="AL64" i="2" s="1"/>
  <c r="AF335" i="2"/>
  <c r="AB53" i="20"/>
  <c r="AG53" i="20" s="1"/>
  <c r="AG38" i="20"/>
  <c r="AC63" i="2"/>
  <c r="AD63" i="2" s="1"/>
  <c r="AL63" i="2" s="1"/>
  <c r="D114" i="23"/>
  <c r="AA63" i="2"/>
  <c r="J121" i="23"/>
  <c r="Q121" i="23"/>
  <c r="AO415" i="2"/>
  <c r="AI415" i="2"/>
  <c r="P332" i="2"/>
  <c r="M331" i="2"/>
  <c r="BG40" i="2" s="1"/>
  <c r="J120" i="23"/>
  <c r="Q120" i="23"/>
  <c r="K248" i="25"/>
  <c r="K250" i="25"/>
  <c r="M543" i="2"/>
  <c r="S428" i="2"/>
  <c r="J12" i="5"/>
  <c r="AC76" i="2"/>
  <c r="AD76" i="2" s="1"/>
  <c r="AL76" i="2" s="1"/>
  <c r="D123" i="23"/>
  <c r="AA76" i="2"/>
  <c r="Y79" i="2"/>
  <c r="Y83" i="2" s="1"/>
  <c r="AB78" i="2"/>
  <c r="E239" i="25"/>
  <c r="K254" i="25" s="1"/>
  <c r="AD420" i="2"/>
  <c r="AD413" i="2" s="1"/>
  <c r="E85" i="20" s="1"/>
  <c r="D119" i="23"/>
  <c r="AC68" i="2"/>
  <c r="AC69" i="2" s="1"/>
  <c r="AD69" i="2" s="1"/>
  <c r="AK69" i="2" s="1"/>
  <c r="AB70" i="2"/>
  <c r="W68" i="2"/>
  <c r="AA68" i="2"/>
  <c r="Z68" i="2"/>
  <c r="Z69" i="2" s="1"/>
  <c r="Y39" i="2"/>
  <c r="AB35" i="2"/>
  <c r="Q102" i="23"/>
  <c r="J102" i="23"/>
  <c r="M548" i="2"/>
  <c r="S450" i="2"/>
  <c r="J127" i="23"/>
  <c r="Q127" i="23"/>
  <c r="W547" i="2"/>
  <c r="G159" i="23"/>
  <c r="S429" i="2"/>
  <c r="AB149" i="2"/>
  <c r="AA295" i="2"/>
  <c r="AA158" i="2"/>
  <c r="AD34" i="2"/>
  <c r="Z34" i="2"/>
  <c r="AA34" i="2"/>
  <c r="D99" i="23"/>
  <c r="AC34" i="2"/>
  <c r="AH418" i="2"/>
  <c r="AO418" i="2"/>
  <c r="Q124" i="23"/>
  <c r="J124" i="23"/>
  <c r="AA62" i="2"/>
  <c r="D113" i="23"/>
  <c r="AC62" i="2"/>
  <c r="AD62" i="2" s="1"/>
  <c r="AH62" i="2" s="1"/>
  <c r="G12" i="5"/>
  <c r="U11" i="5"/>
  <c r="I436" i="2"/>
  <c r="M436" i="2"/>
  <c r="BI16" i="2" s="1"/>
  <c r="BH16" i="2" s="1"/>
  <c r="N16" i="5"/>
  <c r="Q122" i="23"/>
  <c r="J122" i="23"/>
  <c r="AD558" i="2"/>
  <c r="P553" i="2"/>
  <c r="BW40" i="2" s="1"/>
  <c r="CD40" i="2" s="1"/>
  <c r="AD555" i="2"/>
  <c r="H34" i="20"/>
  <c r="M472" i="2"/>
  <c r="BI41" i="2" s="1"/>
  <c r="BH41" i="2" s="1"/>
  <c r="AB66" i="2"/>
  <c r="D116" i="23"/>
  <c r="Z65" i="2"/>
  <c r="AA65" i="2"/>
  <c r="AC65" i="2"/>
  <c r="AD65" i="2" s="1"/>
  <c r="AI65" i="2" s="1"/>
  <c r="AC211" i="25"/>
  <c r="I434" i="2"/>
  <c r="M434" i="2"/>
  <c r="BI14" i="2" s="1"/>
  <c r="BH14" i="2" s="1"/>
  <c r="N14" i="5"/>
  <c r="S430" i="2"/>
  <c r="S427" i="2"/>
  <c r="Z155" i="2"/>
  <c r="E85" i="23"/>
  <c r="K85" i="23" s="1"/>
  <c r="Y155" i="2"/>
  <c r="L150" i="23"/>
  <c r="S150" i="23"/>
  <c r="G153" i="23"/>
  <c r="AA540" i="2"/>
  <c r="AD538" i="2"/>
  <c r="AG538" i="2" s="1"/>
  <c r="L151" i="23"/>
  <c r="S151" i="23"/>
  <c r="G150" i="23"/>
  <c r="AA536" i="2"/>
  <c r="AH194" i="2"/>
  <c r="Q192" i="2"/>
  <c r="Q191" i="2" s="1"/>
  <c r="P191" i="2"/>
  <c r="BT26" i="2" s="1"/>
  <c r="CA26" i="2" s="1"/>
  <c r="AB343" i="2"/>
  <c r="AC343" i="2" s="1"/>
  <c r="AB345" i="2"/>
  <c r="AC345" i="2" s="1"/>
  <c r="AA342" i="2"/>
  <c r="O55" i="5"/>
  <c r="W352" i="2"/>
  <c r="F120" i="23"/>
  <c r="S120" i="23" s="1"/>
  <c r="K481" i="2"/>
  <c r="AB492" i="2"/>
  <c r="AB485" i="2" s="1"/>
  <c r="O47" i="5"/>
  <c r="AC352" i="2"/>
  <c r="G481" i="2"/>
  <c r="N22" i="23" s="1"/>
  <c r="E107" i="23"/>
  <c r="R107" i="23" s="1"/>
  <c r="G493" i="2"/>
  <c r="N23" i="23" s="1"/>
  <c r="M48" i="23"/>
  <c r="L468" i="2"/>
  <c r="H468" i="2"/>
  <c r="G505" i="2"/>
  <c r="N24" i="23" s="1"/>
  <c r="M49" i="23"/>
  <c r="S524" i="2"/>
  <c r="R523" i="2"/>
  <c r="I493" i="2"/>
  <c r="U71" i="5"/>
  <c r="U77" i="5"/>
  <c r="Z348" i="2"/>
  <c r="Z349" i="2" s="1"/>
  <c r="AC348" i="2"/>
  <c r="AB350" i="2"/>
  <c r="F119" i="23"/>
  <c r="W348" i="2"/>
  <c r="AA348" i="2"/>
  <c r="K505" i="2"/>
  <c r="G49" i="23"/>
  <c r="AB522" i="2"/>
  <c r="S525" i="2"/>
  <c r="P226" i="2"/>
  <c r="P227" i="2"/>
  <c r="P228" i="2"/>
  <c r="P229" i="2"/>
  <c r="M281" i="2"/>
  <c r="K493" i="2"/>
  <c r="AB504" i="2"/>
  <c r="G48" i="23"/>
  <c r="K141" i="23"/>
  <c r="R141" i="23"/>
  <c r="AC364" i="2"/>
  <c r="AD364" i="2" s="1"/>
  <c r="M353" i="2"/>
  <c r="BG51" i="2" s="1"/>
  <c r="AR212" i="2"/>
  <c r="AR208" i="2"/>
  <c r="AR205" i="2"/>
  <c r="AR202" i="2"/>
  <c r="AR203" i="2"/>
  <c r="E66" i="23"/>
  <c r="AR207" i="2"/>
  <c r="AR211" i="2"/>
  <c r="AR204" i="2"/>
  <c r="T341" i="2"/>
  <c r="AR349" i="2" s="1"/>
  <c r="AR210" i="2"/>
  <c r="AR206" i="2"/>
  <c r="L44" i="23"/>
  <c r="P342" i="2"/>
  <c r="P343" i="2"/>
  <c r="F141" i="23"/>
  <c r="W382" i="2"/>
  <c r="T213" i="2"/>
  <c r="P524" i="2"/>
  <c r="K328" i="2"/>
  <c r="F44" i="23"/>
  <c r="L51" i="5"/>
  <c r="O51" i="5"/>
  <c r="M188" i="2"/>
  <c r="BF37" i="2" s="1"/>
  <c r="AC189" i="2"/>
  <c r="I505" i="2"/>
  <c r="K78" i="5" s="1"/>
  <c r="N47" i="23"/>
  <c r="AB357" i="2"/>
  <c r="AB355" i="2"/>
  <c r="AB360" i="2"/>
  <c r="AB361" i="2" s="1"/>
  <c r="F128" i="23"/>
  <c r="W364" i="2"/>
  <c r="G84" i="5"/>
  <c r="F326" i="2"/>
  <c r="I326" i="2"/>
  <c r="L326" i="2"/>
  <c r="H326" i="2"/>
  <c r="BU93" i="2" s="1"/>
  <c r="K186" i="2"/>
  <c r="G186" i="2"/>
  <c r="L40" i="5"/>
  <c r="O40" i="5"/>
  <c r="AI264" i="2"/>
  <c r="R106" i="23"/>
  <c r="K106" i="23"/>
  <c r="K162" i="23"/>
  <c r="R162" i="23"/>
  <c r="E160" i="23"/>
  <c r="E161" i="23"/>
  <c r="W552" i="2"/>
  <c r="G163" i="23"/>
  <c r="S163" i="23"/>
  <c r="L163" i="23"/>
  <c r="M468" i="2"/>
  <c r="BI37" i="2" s="1"/>
  <c r="BH37" i="2" s="1"/>
  <c r="Q105" i="23"/>
  <c r="J105" i="23"/>
  <c r="R326" i="2"/>
  <c r="AB329" i="2"/>
  <c r="T39" i="5"/>
  <c r="J35" i="5"/>
  <c r="G35" i="5"/>
  <c r="AB188" i="2"/>
  <c r="W189" i="2"/>
  <c r="AA189" i="2"/>
  <c r="E105" i="23"/>
  <c r="R468" i="2"/>
  <c r="R467" i="2"/>
  <c r="D466" i="2"/>
  <c r="K37" i="5"/>
  <c r="N37" i="5"/>
  <c r="D35" i="5"/>
  <c r="AK9" i="5" s="1"/>
  <c r="P328" i="2"/>
  <c r="P327" i="2"/>
  <c r="M326" i="2"/>
  <c r="BG35" i="2" s="1"/>
  <c r="D104" i="23"/>
  <c r="N138" i="2" l="1"/>
  <c r="AP248" i="2"/>
  <c r="AP281" i="2" s="1"/>
  <c r="H58" i="5"/>
  <c r="AT58" i="5"/>
  <c r="BA58" i="5" s="1"/>
  <c r="BM78" i="5" s="1"/>
  <c r="P525" i="2"/>
  <c r="BI60" i="2"/>
  <c r="BH60" i="2" s="1"/>
  <c r="N133" i="2"/>
  <c r="G471" i="2"/>
  <c r="BW94" i="2"/>
  <c r="CF73" i="2"/>
  <c r="BV40" i="2"/>
  <c r="CC40" i="2" s="1"/>
  <c r="BO51" i="2"/>
  <c r="D7" i="5"/>
  <c r="AR7" i="5"/>
  <c r="AZ7" i="5" s="1"/>
  <c r="D19" i="5"/>
  <c r="AR19" i="5"/>
  <c r="AZ19" i="5" s="1"/>
  <c r="H30" i="5"/>
  <c r="AT30" i="5"/>
  <c r="BA30" i="5" s="1"/>
  <c r="BM31" i="5" s="1"/>
  <c r="CB94" i="2"/>
  <c r="BN40" i="2"/>
  <c r="AB473" i="2"/>
  <c r="AB472" i="2" s="1"/>
  <c r="G108" i="23"/>
  <c r="BM35" i="2"/>
  <c r="CA93" i="2"/>
  <c r="CD101" i="2"/>
  <c r="CE101" i="2" s="1"/>
  <c r="BP51" i="2"/>
  <c r="AC537" i="2"/>
  <c r="AD537" i="2" s="1"/>
  <c r="AQ537" i="2" s="1"/>
  <c r="H12" i="5"/>
  <c r="AT12" i="5"/>
  <c r="BA12" i="5" s="1"/>
  <c r="N135" i="2"/>
  <c r="N62" i="2"/>
  <c r="N87" i="2"/>
  <c r="N115" i="2"/>
  <c r="N109" i="2"/>
  <c r="N136" i="2"/>
  <c r="N139" i="2"/>
  <c r="AC382" i="2"/>
  <c r="AD382" i="2" s="1"/>
  <c r="AK382" i="2" s="1"/>
  <c r="CB102" i="2"/>
  <c r="CC102" i="2" s="1"/>
  <c r="BN55" i="2"/>
  <c r="BO55" i="2" s="1"/>
  <c r="E44" i="20"/>
  <c r="J44" i="20" s="1"/>
  <c r="BU66" i="2"/>
  <c r="J49" i="20"/>
  <c r="P540" i="2"/>
  <c r="Q540" i="2" s="1"/>
  <c r="Q539" i="2" s="1"/>
  <c r="BI63" i="2"/>
  <c r="BH63" i="2" s="1"/>
  <c r="C26" i="20"/>
  <c r="BU55" i="2"/>
  <c r="CC55" i="2" s="1"/>
  <c r="CC73" i="2" s="1"/>
  <c r="BH65" i="2"/>
  <c r="C52" i="20"/>
  <c r="BX64" i="2"/>
  <c r="CF64" i="2" s="1"/>
  <c r="CC100" i="2"/>
  <c r="CC101" i="2"/>
  <c r="BV35" i="2"/>
  <c r="CC35" i="2" s="1"/>
  <c r="CB35" i="2"/>
  <c r="AB494" i="2"/>
  <c r="AF364" i="2"/>
  <c r="AK364" i="2"/>
  <c r="AC169" i="2"/>
  <c r="AD169" i="2" s="1"/>
  <c r="AF169" i="2" s="1"/>
  <c r="BM19" i="2"/>
  <c r="P536" i="2"/>
  <c r="Q536" i="2" s="1"/>
  <c r="Q535" i="2" s="1"/>
  <c r="BI62" i="2"/>
  <c r="BH62" i="2" s="1"/>
  <c r="Q396" i="2"/>
  <c r="Q395" i="2" s="1"/>
  <c r="P395" i="2"/>
  <c r="BU36" i="2" s="1"/>
  <c r="N134" i="2"/>
  <c r="BE67" i="2"/>
  <c r="N64" i="2"/>
  <c r="N76" i="2"/>
  <c r="N225" i="2"/>
  <c r="BF67" i="2"/>
  <c r="CD102" i="2"/>
  <c r="CE102" i="2" s="1"/>
  <c r="BP55" i="2"/>
  <c r="L77" i="5"/>
  <c r="AC492" i="2"/>
  <c r="AD492" i="2" s="1"/>
  <c r="CD100" i="2"/>
  <c r="CE100" i="2" s="1"/>
  <c r="BP47" i="2"/>
  <c r="BO47" i="2" s="1"/>
  <c r="L37" i="5"/>
  <c r="AV37" i="5"/>
  <c r="BB37" i="5" s="1"/>
  <c r="H35" i="5"/>
  <c r="AT35" i="5"/>
  <c r="BA35" i="5" s="1"/>
  <c r="BM32" i="5" s="1"/>
  <c r="AC329" i="2"/>
  <c r="AC328" i="2" s="1"/>
  <c r="AC327" i="2" s="1"/>
  <c r="AD327" i="2" s="1"/>
  <c r="AM327" i="2" s="1"/>
  <c r="AM336" i="2" s="1"/>
  <c r="E31" i="20" s="1"/>
  <c r="BN37" i="2"/>
  <c r="P549" i="2"/>
  <c r="P548" i="2" s="1"/>
  <c r="BW39" i="2" s="1"/>
  <c r="CD39" i="2" s="1"/>
  <c r="BI65" i="2"/>
  <c r="P544" i="2"/>
  <c r="P543" i="2" s="1"/>
  <c r="BW38" i="2" s="1"/>
  <c r="BI64" i="2"/>
  <c r="BH64" i="2" s="1"/>
  <c r="D24" i="5"/>
  <c r="AR24" i="5"/>
  <c r="AZ24" i="5" s="1"/>
  <c r="M311" i="2"/>
  <c r="BG26" i="2"/>
  <c r="G164" i="2"/>
  <c r="BT90" i="2"/>
  <c r="N63" i="2"/>
  <c r="N104" i="2"/>
  <c r="N74" i="2"/>
  <c r="D30" i="5"/>
  <c r="AK11" i="5" s="1"/>
  <c r="AL11" i="5" s="1"/>
  <c r="AR30" i="5"/>
  <c r="AZ30" i="5" s="1"/>
  <c r="BL31" i="5" s="1"/>
  <c r="N105" i="2"/>
  <c r="Q530" i="2"/>
  <c r="AF534" i="2" s="1"/>
  <c r="N103" i="2"/>
  <c r="N141" i="2" s="1"/>
  <c r="N73" i="2"/>
  <c r="AI124" i="2"/>
  <c r="AD123" i="2"/>
  <c r="C83" i="20" s="1"/>
  <c r="H83" i="20" s="1"/>
  <c r="AB482" i="2"/>
  <c r="AF224" i="2"/>
  <c r="AK224" i="2"/>
  <c r="AF212" i="2"/>
  <c r="AK212" i="2"/>
  <c r="BV39" i="2"/>
  <c r="CC39" i="2" s="1"/>
  <c r="CB39" i="2"/>
  <c r="CB37" i="2"/>
  <c r="I49" i="20"/>
  <c r="AD403" i="2"/>
  <c r="E83" i="20" s="1"/>
  <c r="J83" i="20" s="1"/>
  <c r="AD263" i="2"/>
  <c r="AI404" i="2"/>
  <c r="AC332" i="2"/>
  <c r="AD332" i="2" s="1"/>
  <c r="AD333" i="2"/>
  <c r="AL56" i="2"/>
  <c r="C27" i="20" s="1"/>
  <c r="H27" i="20" s="1"/>
  <c r="AD48" i="2"/>
  <c r="AQ48" i="2" s="1"/>
  <c r="AQ56" i="2" s="1"/>
  <c r="C33" i="20" s="1"/>
  <c r="C15" i="20" s="1"/>
  <c r="E17" i="21" s="1"/>
  <c r="AC47" i="2"/>
  <c r="AD47" i="2" s="1"/>
  <c r="AC474" i="2"/>
  <c r="AF475" i="2"/>
  <c r="AD51" i="2"/>
  <c r="C69" i="20" s="1"/>
  <c r="H69" i="20" s="1"/>
  <c r="AI52" i="2"/>
  <c r="H26" i="20"/>
  <c r="C8" i="20"/>
  <c r="AD411" i="2"/>
  <c r="AH411" i="2" s="1"/>
  <c r="AC410" i="2"/>
  <c r="AD546" i="2"/>
  <c r="AC545" i="2"/>
  <c r="AD551" i="2"/>
  <c r="AC550" i="2"/>
  <c r="AD268" i="2"/>
  <c r="D84" i="20" s="1"/>
  <c r="I84" i="20" s="1"/>
  <c r="AI269" i="2"/>
  <c r="AD560" i="2"/>
  <c r="AD553" i="2" s="1"/>
  <c r="G85" i="20" s="1"/>
  <c r="L85" i="20" s="1"/>
  <c r="W475" i="2"/>
  <c r="AR511" i="2"/>
  <c r="AR508" i="2"/>
  <c r="AR519" i="2"/>
  <c r="G68" i="23"/>
  <c r="AR513" i="2"/>
  <c r="AR520" i="2"/>
  <c r="AR521" i="2"/>
  <c r="AR516" i="2"/>
  <c r="AR509" i="2"/>
  <c r="AR515" i="2"/>
  <c r="AR517" i="2"/>
  <c r="AR510" i="2"/>
  <c r="AR512" i="2"/>
  <c r="AR514" i="2"/>
  <c r="AR507" i="2"/>
  <c r="AR506" i="2"/>
  <c r="AR518" i="2"/>
  <c r="M152" i="23"/>
  <c r="S156" i="23"/>
  <c r="AK82" i="25"/>
  <c r="M126" i="25" s="1"/>
  <c r="M148" i="25" s="1"/>
  <c r="AR365" i="2"/>
  <c r="F174" i="23" s="1"/>
  <c r="AD348" i="2"/>
  <c r="AF348" i="2" s="1"/>
  <c r="AC349" i="2"/>
  <c r="AD349" i="2" s="1"/>
  <c r="AK349" i="2" s="1"/>
  <c r="AD352" i="2"/>
  <c r="AD345" i="2"/>
  <c r="AI345" i="2" s="1"/>
  <c r="W309" i="25"/>
  <c r="AI293" i="25"/>
  <c r="S75" i="2"/>
  <c r="R75" i="2" s="1"/>
  <c r="S74" i="2"/>
  <c r="T74" i="2" s="1"/>
  <c r="AC81" i="2"/>
  <c r="AD81" i="2" s="1"/>
  <c r="AK81" i="2" s="1"/>
  <c r="AD80" i="2"/>
  <c r="AF80" i="2" s="1"/>
  <c r="AA350" i="2"/>
  <c r="AA349" i="2"/>
  <c r="AD214" i="2"/>
  <c r="AH214" i="2" s="1"/>
  <c r="AB210" i="2"/>
  <c r="AB209" i="2"/>
  <c r="AD343" i="2"/>
  <c r="AL343" i="2" s="1"/>
  <c r="F282" i="25"/>
  <c r="AR221" i="2"/>
  <c r="L277" i="25" s="1"/>
  <c r="X293" i="25" s="1"/>
  <c r="Z82" i="2"/>
  <c r="AB222" i="2"/>
  <c r="AB221" i="2"/>
  <c r="G151" i="23"/>
  <c r="T151" i="23" s="1"/>
  <c r="L109" i="23"/>
  <c r="S529" i="2"/>
  <c r="K116" i="23"/>
  <c r="AC205" i="2"/>
  <c r="AD205" i="2" s="1"/>
  <c r="AI205" i="2" s="1"/>
  <c r="K113" i="23"/>
  <c r="L108" i="23"/>
  <c r="AA205" i="2"/>
  <c r="Z205" i="2"/>
  <c r="E385" i="2"/>
  <c r="T64" i="5"/>
  <c r="AG561" i="2"/>
  <c r="AA82" i="2"/>
  <c r="AA81" i="2"/>
  <c r="AA70" i="2"/>
  <c r="AA69" i="2"/>
  <c r="M365" i="2"/>
  <c r="W313" i="25"/>
  <c r="K329" i="25" s="1"/>
  <c r="K345" i="25" s="1"/>
  <c r="K120" i="23"/>
  <c r="L143" i="23"/>
  <c r="P383" i="2"/>
  <c r="BU34" i="2" s="1"/>
  <c r="AM11" i="5"/>
  <c r="AI295" i="25"/>
  <c r="K327" i="25" s="1"/>
  <c r="T57" i="5"/>
  <c r="E355" i="2"/>
  <c r="T63" i="5"/>
  <c r="E384" i="2"/>
  <c r="E341" i="2"/>
  <c r="E408" i="2"/>
  <c r="L80" i="20"/>
  <c r="T66" i="5"/>
  <c r="T67" i="5"/>
  <c r="E403" i="2"/>
  <c r="E114" i="23"/>
  <c r="R114" i="23" s="1"/>
  <c r="W226" i="25"/>
  <c r="E19" i="25" s="1"/>
  <c r="E354" i="2"/>
  <c r="E383" i="2"/>
  <c r="T58" i="5"/>
  <c r="T59" i="5"/>
  <c r="AC203" i="2"/>
  <c r="AD203" i="2" s="1"/>
  <c r="AL203" i="2" s="1"/>
  <c r="G109" i="23"/>
  <c r="M109" i="23" s="1"/>
  <c r="E395" i="2"/>
  <c r="E353" i="2"/>
  <c r="E365" i="2"/>
  <c r="E399" i="2"/>
  <c r="T61" i="5"/>
  <c r="E343" i="2"/>
  <c r="E367" i="2"/>
  <c r="G67" i="5"/>
  <c r="AI292" i="25"/>
  <c r="K324" i="25" s="1"/>
  <c r="K340" i="25" s="1"/>
  <c r="AI296" i="25"/>
  <c r="K328" i="25" s="1"/>
  <c r="K344" i="25" s="1"/>
  <c r="S286" i="2"/>
  <c r="I146" i="2"/>
  <c r="AD149" i="2" s="1"/>
  <c r="E342" i="2"/>
  <c r="J67" i="5"/>
  <c r="T60" i="5"/>
  <c r="E356" i="2"/>
  <c r="T65" i="5"/>
  <c r="E366" i="2"/>
  <c r="E344" i="2"/>
  <c r="J245" i="2"/>
  <c r="P539" i="2"/>
  <c r="BW37" i="2" s="1"/>
  <c r="CD37" i="2" s="1"/>
  <c r="Q384" i="2"/>
  <c r="Q383" i="2" s="1"/>
  <c r="AA541" i="2"/>
  <c r="D83" i="20"/>
  <c r="AD539" i="2"/>
  <c r="G82" i="20" s="1"/>
  <c r="L82" i="20" s="1"/>
  <c r="AQ561" i="2"/>
  <c r="G51" i="20" s="1"/>
  <c r="F51" i="20" s="1"/>
  <c r="K51" i="20" s="1"/>
  <c r="E119" i="23"/>
  <c r="K119" i="23" s="1"/>
  <c r="AA208" i="2"/>
  <c r="AC208" i="2"/>
  <c r="M155" i="23"/>
  <c r="W220" i="2"/>
  <c r="W208" i="2"/>
  <c r="Z208" i="2"/>
  <c r="K471" i="2"/>
  <c r="E505" i="2"/>
  <c r="E127" i="23"/>
  <c r="R127" i="23" s="1"/>
  <c r="G383" i="2"/>
  <c r="M25" i="23" s="1"/>
  <c r="S143" i="23" s="1"/>
  <c r="P535" i="2"/>
  <c r="BW36" i="2" s="1"/>
  <c r="CD36" i="2" s="1"/>
  <c r="N32" i="5"/>
  <c r="U64" i="5"/>
  <c r="L142" i="23"/>
  <c r="I383" i="2"/>
  <c r="G82" i="5" s="1"/>
  <c r="H82" i="5" s="1"/>
  <c r="AA214" i="2"/>
  <c r="AD395" i="2"/>
  <c r="E81" i="20" s="1"/>
  <c r="J81" i="20" s="1"/>
  <c r="AI288" i="25"/>
  <c r="K320" i="25" s="1"/>
  <c r="K336" i="25" s="1"/>
  <c r="W310" i="25"/>
  <c r="K326" i="25" s="1"/>
  <c r="I292" i="2"/>
  <c r="L292" i="2" s="1"/>
  <c r="S383" i="2"/>
  <c r="E121" i="23"/>
  <c r="R121" i="23" s="1"/>
  <c r="D461" i="2"/>
  <c r="N30" i="5" s="1"/>
  <c r="U63" i="5"/>
  <c r="K67" i="5"/>
  <c r="F50" i="23"/>
  <c r="M50" i="23" s="1"/>
  <c r="L523" i="2"/>
  <c r="G50" i="23" s="1"/>
  <c r="AD527" i="2"/>
  <c r="AI527" i="2" s="1"/>
  <c r="E483" i="2"/>
  <c r="AI291" i="25"/>
  <c r="K323" i="25" s="1"/>
  <c r="K339" i="25" s="1"/>
  <c r="E525" i="2"/>
  <c r="U60" i="5"/>
  <c r="K383" i="2"/>
  <c r="E484" i="2"/>
  <c r="E481" i="2"/>
  <c r="N67" i="5"/>
  <c r="E507" i="2"/>
  <c r="E548" i="2"/>
  <c r="AA217" i="2"/>
  <c r="E495" i="2"/>
  <c r="U59" i="5"/>
  <c r="H523" i="2"/>
  <c r="AD526" i="2"/>
  <c r="AF526" i="2" s="1"/>
  <c r="AD524" i="2"/>
  <c r="AH524" i="2" s="1"/>
  <c r="E496" i="2"/>
  <c r="E539" i="2"/>
  <c r="K12" i="5"/>
  <c r="U65" i="5"/>
  <c r="U57" i="5"/>
  <c r="U66" i="5"/>
  <c r="E529" i="2"/>
  <c r="AA220" i="2"/>
  <c r="Z217" i="2"/>
  <c r="AC220" i="2"/>
  <c r="U67" i="5"/>
  <c r="N58" i="5"/>
  <c r="U78" i="5" s="1"/>
  <c r="E506" i="2"/>
  <c r="E524" i="2"/>
  <c r="W306" i="25"/>
  <c r="K322" i="25" s="1"/>
  <c r="E535" i="2"/>
  <c r="U61" i="5"/>
  <c r="R124" i="23"/>
  <c r="K58" i="5"/>
  <c r="AD525" i="2"/>
  <c r="AP525" i="2" s="1"/>
  <c r="E482" i="2"/>
  <c r="U58" i="5"/>
  <c r="E523" i="2"/>
  <c r="E494" i="2"/>
  <c r="E493" i="2"/>
  <c r="Z220" i="2"/>
  <c r="M523" i="2"/>
  <c r="BI58" i="2" s="1"/>
  <c r="BH58" i="2" s="1"/>
  <c r="K122" i="23"/>
  <c r="AC215" i="2"/>
  <c r="AD215" i="2" s="1"/>
  <c r="AL215" i="2" s="1"/>
  <c r="W305" i="25"/>
  <c r="K321" i="25" s="1"/>
  <c r="K337" i="25" s="1"/>
  <c r="AA215" i="2"/>
  <c r="AR73" i="2"/>
  <c r="K270" i="25" s="1"/>
  <c r="N24" i="5"/>
  <c r="D450" i="2"/>
  <c r="R452" i="2" s="1"/>
  <c r="M165" i="2"/>
  <c r="M453" i="2"/>
  <c r="J141" i="2"/>
  <c r="P85" i="2"/>
  <c r="N26" i="5"/>
  <c r="AC217" i="2"/>
  <c r="AD217" i="2" s="1"/>
  <c r="AI217" i="2" s="1"/>
  <c r="I453" i="2"/>
  <c r="H451" i="2" s="1"/>
  <c r="T72" i="5"/>
  <c r="J203" i="2"/>
  <c r="J215" i="2"/>
  <c r="J259" i="2"/>
  <c r="J268" i="2"/>
  <c r="J202" i="2"/>
  <c r="J263" i="2"/>
  <c r="J255" i="2"/>
  <c r="J227" i="2"/>
  <c r="J249" i="2"/>
  <c r="J226" i="2"/>
  <c r="J216" i="2"/>
  <c r="J204" i="2"/>
  <c r="J244" i="2"/>
  <c r="F311" i="2"/>
  <c r="F15" i="23" s="1"/>
  <c r="L98" i="23" s="1"/>
  <c r="H311" i="2"/>
  <c r="K311" i="2" s="1"/>
  <c r="BN24" i="2" s="1"/>
  <c r="H85" i="5"/>
  <c r="H84" i="5" s="1"/>
  <c r="F84" i="5"/>
  <c r="H432" i="2"/>
  <c r="I432" i="2" s="1"/>
  <c r="L147" i="2"/>
  <c r="K147" i="2" s="1"/>
  <c r="BM7" i="2" s="1"/>
  <c r="E84" i="5"/>
  <c r="T36" i="5"/>
  <c r="R287" i="2"/>
  <c r="M287" i="2"/>
  <c r="M432" i="2"/>
  <c r="BI12" i="2" s="1"/>
  <c r="BH12" i="2" s="1"/>
  <c r="S164" i="2"/>
  <c r="R306" i="2"/>
  <c r="J21" i="5"/>
  <c r="M307" i="2"/>
  <c r="I307" i="2"/>
  <c r="D447" i="2"/>
  <c r="I306" i="2"/>
  <c r="D305" i="2"/>
  <c r="H305" i="2"/>
  <c r="R305" i="2"/>
  <c r="R304" i="2" s="1"/>
  <c r="J20" i="5"/>
  <c r="D446" i="2"/>
  <c r="M306" i="2"/>
  <c r="AC16" i="2"/>
  <c r="AC19" i="2"/>
  <c r="AC9" i="2"/>
  <c r="AC8" i="2"/>
  <c r="AC18" i="2"/>
  <c r="AC21" i="2"/>
  <c r="AC14" i="2"/>
  <c r="AC20" i="2"/>
  <c r="AC12" i="2"/>
  <c r="AC22" i="2"/>
  <c r="AC15" i="2"/>
  <c r="AC10" i="2"/>
  <c r="AC11" i="2" s="1"/>
  <c r="AC7" i="2"/>
  <c r="G6" i="2"/>
  <c r="K11" i="23" s="1"/>
  <c r="AC17" i="2"/>
  <c r="AC13" i="2"/>
  <c r="E81" i="5"/>
  <c r="I164" i="2"/>
  <c r="T164" i="2" s="1"/>
  <c r="K171" i="2"/>
  <c r="E40" i="23"/>
  <c r="L40" i="23" s="1"/>
  <c r="N48" i="2"/>
  <c r="N41" i="2"/>
  <c r="N11" i="2"/>
  <c r="N52" i="2"/>
  <c r="N14" i="2"/>
  <c r="N15" i="2"/>
  <c r="N17" i="2"/>
  <c r="N28" i="2"/>
  <c r="N35" i="2"/>
  <c r="N53" i="2"/>
  <c r="N9" i="2"/>
  <c r="N36" i="2"/>
  <c r="N12" i="2"/>
  <c r="N16" i="2"/>
  <c r="N13" i="2"/>
  <c r="N33" i="2"/>
  <c r="N47" i="2"/>
  <c r="N46" i="2" s="1"/>
  <c r="N50" i="2"/>
  <c r="N25" i="2"/>
  <c r="N31" i="2"/>
  <c r="N34" i="2"/>
  <c r="N42" i="2"/>
  <c r="N7" i="2"/>
  <c r="N49" i="2"/>
  <c r="N26" i="2"/>
  <c r="N43" i="2"/>
  <c r="N10" i="2"/>
  <c r="N8" i="2"/>
  <c r="N45" i="2"/>
  <c r="N27" i="2"/>
  <c r="N32" i="2"/>
  <c r="N44" i="2"/>
  <c r="AO21" i="2"/>
  <c r="AH21" i="2"/>
  <c r="H287" i="2"/>
  <c r="I287" i="2"/>
  <c r="K96" i="23"/>
  <c r="K97" i="23"/>
  <c r="K98" i="23"/>
  <c r="K101" i="23"/>
  <c r="P9" i="2"/>
  <c r="P8" i="2"/>
  <c r="P10" i="2"/>
  <c r="P7" i="2"/>
  <c r="N6" i="2"/>
  <c r="I430" i="2"/>
  <c r="N10" i="5"/>
  <c r="M430" i="2"/>
  <c r="BI10" i="2" s="1"/>
  <c r="BH10" i="2" s="1"/>
  <c r="J17" i="2"/>
  <c r="J26" i="2"/>
  <c r="J32" i="2"/>
  <c r="J45" i="2"/>
  <c r="J28" i="2"/>
  <c r="J31" i="2"/>
  <c r="J14" i="2"/>
  <c r="J49" i="2"/>
  <c r="J25" i="2"/>
  <c r="J16" i="2"/>
  <c r="J6" i="2"/>
  <c r="J8" i="2"/>
  <c r="J10" i="2"/>
  <c r="J52" i="2"/>
  <c r="J48" i="2"/>
  <c r="J11" i="2"/>
  <c r="J47" i="2"/>
  <c r="J13" i="2"/>
  <c r="J33" i="2"/>
  <c r="J53" i="2"/>
  <c r="J15" i="2"/>
  <c r="J35" i="2"/>
  <c r="J42" i="2"/>
  <c r="J36" i="2"/>
  <c r="J12" i="2"/>
  <c r="J9" i="2"/>
  <c r="J7" i="2"/>
  <c r="J41" i="2"/>
  <c r="J27" i="2"/>
  <c r="J43" i="2"/>
  <c r="J44" i="2"/>
  <c r="J34" i="2"/>
  <c r="J50" i="2"/>
  <c r="N8" i="5"/>
  <c r="I428" i="2"/>
  <c r="D427" i="2"/>
  <c r="M428" i="2"/>
  <c r="BI8" i="2" s="1"/>
  <c r="BH8" i="2" s="1"/>
  <c r="R171" i="2"/>
  <c r="F23" i="5"/>
  <c r="R172" i="2"/>
  <c r="C23" i="5"/>
  <c r="D310" i="2"/>
  <c r="J24" i="5"/>
  <c r="G24" i="5"/>
  <c r="K24" i="5"/>
  <c r="AF10" i="2"/>
  <c r="AO10" i="2"/>
  <c r="AO16" i="2"/>
  <c r="AI16" i="2"/>
  <c r="J7" i="5"/>
  <c r="G7" i="5"/>
  <c r="AT7" i="5" s="1"/>
  <c r="BA7" i="5" s="1"/>
  <c r="U6" i="5"/>
  <c r="N9" i="5"/>
  <c r="M429" i="2"/>
  <c r="BI9" i="2" s="1"/>
  <c r="BH9" i="2" s="1"/>
  <c r="I429" i="2"/>
  <c r="U7" i="5"/>
  <c r="N11" i="5"/>
  <c r="I431" i="2"/>
  <c r="M431" i="2"/>
  <c r="BI11" i="2" s="1"/>
  <c r="BH11" i="2" s="1"/>
  <c r="C18" i="5"/>
  <c r="S37" i="5"/>
  <c r="F18" i="5"/>
  <c r="AH165" i="2"/>
  <c r="G147" i="2"/>
  <c r="H146" i="2"/>
  <c r="BT89" i="2" s="1"/>
  <c r="L6" i="2"/>
  <c r="K7" i="2"/>
  <c r="BL7" i="2" s="1"/>
  <c r="AO19" i="2"/>
  <c r="AH19" i="2"/>
  <c r="C6" i="5"/>
  <c r="S36" i="5"/>
  <c r="F6" i="5"/>
  <c r="R150" i="2"/>
  <c r="R149" i="2"/>
  <c r="R147" i="2"/>
  <c r="D196" i="2"/>
  <c r="R148" i="2"/>
  <c r="M146" i="2"/>
  <c r="BF6" i="2" s="1"/>
  <c r="E38" i="23"/>
  <c r="L38" i="23" s="1"/>
  <c r="L164" i="2"/>
  <c r="K164" i="2" s="1"/>
  <c r="I171" i="2"/>
  <c r="AC171" i="2" s="1"/>
  <c r="G171" i="2"/>
  <c r="L15" i="23" s="1"/>
  <c r="R288" i="2"/>
  <c r="R290" i="2"/>
  <c r="J6" i="5"/>
  <c r="R289" i="2"/>
  <c r="G6" i="5"/>
  <c r="AB67" i="2"/>
  <c r="AA66" i="2"/>
  <c r="D117" i="23"/>
  <c r="AC66" i="2"/>
  <c r="AD66" i="2" s="1"/>
  <c r="AI66" i="2" s="1"/>
  <c r="Z66" i="2"/>
  <c r="AH558" i="2"/>
  <c r="AO558" i="2"/>
  <c r="AA289" i="2"/>
  <c r="AB295" i="2"/>
  <c r="Z70" i="2"/>
  <c r="S62" i="2"/>
  <c r="Z149" i="2"/>
  <c r="Z158" i="2" s="1"/>
  <c r="E86" i="23"/>
  <c r="K86" i="23" s="1"/>
  <c r="AB158" i="2"/>
  <c r="W149" i="2"/>
  <c r="Y149" i="2"/>
  <c r="J119" i="23"/>
  <c r="Q119" i="23"/>
  <c r="J85" i="20"/>
  <c r="S426" i="2"/>
  <c r="S63" i="2"/>
  <c r="P472" i="2"/>
  <c r="M471" i="2"/>
  <c r="BI40" i="2" s="1"/>
  <c r="BH40" i="2" s="1"/>
  <c r="AF560" i="2"/>
  <c r="AO555" i="2"/>
  <c r="AI555" i="2"/>
  <c r="AI34" i="2"/>
  <c r="AB39" i="2"/>
  <c r="AD39" i="2" s="1"/>
  <c r="AH39" i="2" s="1"/>
  <c r="Z35" i="2"/>
  <c r="Z39" i="2" s="1"/>
  <c r="AA35" i="2"/>
  <c r="AA39" i="2" s="1"/>
  <c r="D100" i="23"/>
  <c r="W35" i="2"/>
  <c r="AC35" i="2"/>
  <c r="AC39" i="2" s="1"/>
  <c r="AD35" i="2"/>
  <c r="AF35" i="2" s="1"/>
  <c r="W303" i="25"/>
  <c r="AI287" i="25"/>
  <c r="W298" i="25"/>
  <c r="E32" i="25" s="1"/>
  <c r="J114" i="23"/>
  <c r="Q114" i="23"/>
  <c r="Q113" i="23"/>
  <c r="J113" i="23"/>
  <c r="AD68" i="2"/>
  <c r="AF68" i="2" s="1"/>
  <c r="AC70" i="2"/>
  <c r="AD70" i="2" s="1"/>
  <c r="AH70" i="2" s="1"/>
  <c r="AB79" i="2"/>
  <c r="Z78" i="2"/>
  <c r="D125" i="23"/>
  <c r="AA78" i="2"/>
  <c r="AC78" i="2"/>
  <c r="AD78" i="2" s="1"/>
  <c r="AI78" i="2" s="1"/>
  <c r="K255" i="25"/>
  <c r="K256" i="25" s="1"/>
  <c r="K241" i="25"/>
  <c r="Y204" i="2"/>
  <c r="AB204" i="2" s="1"/>
  <c r="Y234" i="2"/>
  <c r="Y174" i="2"/>
  <c r="AB174" i="2" s="1"/>
  <c r="Y216" i="2"/>
  <c r="AB216" i="2" s="1"/>
  <c r="Y218" i="2"/>
  <c r="Y206" i="2"/>
  <c r="J116" i="23"/>
  <c r="Q116" i="23"/>
  <c r="J99" i="23"/>
  <c r="Q99" i="23"/>
  <c r="T159" i="23"/>
  <c r="M159" i="23"/>
  <c r="AF552" i="2"/>
  <c r="Q123" i="23"/>
  <c r="J123" i="23"/>
  <c r="AF547" i="2"/>
  <c r="E241" i="25"/>
  <c r="P331" i="2"/>
  <c r="BU26" i="2" s="1"/>
  <c r="Q332" i="2"/>
  <c r="Q331" i="2" s="1"/>
  <c r="AH334" i="2"/>
  <c r="Q115" i="23"/>
  <c r="J115" i="23"/>
  <c r="T150" i="23"/>
  <c r="M150" i="23"/>
  <c r="AM536" i="2"/>
  <c r="AM561" i="2" s="1"/>
  <c r="G49" i="20" s="1"/>
  <c r="AD535" i="2"/>
  <c r="G81" i="20" s="1"/>
  <c r="L81" i="20" s="1"/>
  <c r="AL193" i="2"/>
  <c r="M153" i="23"/>
  <c r="T153" i="23"/>
  <c r="M154" i="23"/>
  <c r="T154" i="23"/>
  <c r="AC58" i="20"/>
  <c r="AH58" i="20" s="1"/>
  <c r="AH43" i="20"/>
  <c r="AA343" i="2"/>
  <c r="Z345" i="2"/>
  <c r="S343" i="2" s="1"/>
  <c r="T343" i="2" s="1"/>
  <c r="F114" i="23"/>
  <c r="S114" i="23" s="1"/>
  <c r="L120" i="23"/>
  <c r="F113" i="23"/>
  <c r="S113" i="23" s="1"/>
  <c r="AA345" i="2"/>
  <c r="AC342" i="2"/>
  <c r="F116" i="23"/>
  <c r="S116" i="23" s="1"/>
  <c r="M481" i="2"/>
  <c r="AB488" i="2"/>
  <c r="AB483" i="2"/>
  <c r="G114" i="23" s="1"/>
  <c r="W492" i="2"/>
  <c r="G120" i="23"/>
  <c r="T120" i="23" s="1"/>
  <c r="AC482" i="2"/>
  <c r="AD482" i="2" s="1"/>
  <c r="K107" i="23"/>
  <c r="G326" i="2"/>
  <c r="AD328" i="2"/>
  <c r="AQ328" i="2" s="1"/>
  <c r="AQ336" i="2" s="1"/>
  <c r="E33" i="20" s="1"/>
  <c r="E15" i="20" s="1"/>
  <c r="G17" i="21" s="1"/>
  <c r="Q524" i="2"/>
  <c r="P523" i="2"/>
  <c r="BW34" i="2" s="1"/>
  <c r="CD34" i="2" s="1"/>
  <c r="L145" i="23"/>
  <c r="AR352" i="2"/>
  <c r="AR348" i="2"/>
  <c r="AR346" i="2"/>
  <c r="AR350" i="2"/>
  <c r="AR342" i="2"/>
  <c r="AR347" i="2"/>
  <c r="F66" i="23"/>
  <c r="AR345" i="2"/>
  <c r="T481" i="2"/>
  <c r="AR343" i="2"/>
  <c r="AR351" i="2"/>
  <c r="AR344" i="2"/>
  <c r="AC355" i="2"/>
  <c r="F122" i="23"/>
  <c r="AA355" i="2"/>
  <c r="AD189" i="2"/>
  <c r="AG189" i="2" s="1"/>
  <c r="AG196" i="2" s="1"/>
  <c r="AC188" i="2"/>
  <c r="M44" i="23"/>
  <c r="AA485" i="2"/>
  <c r="AC485" i="2"/>
  <c r="AD485" i="2" s="1"/>
  <c r="AI485" i="2" s="1"/>
  <c r="Z485" i="2"/>
  <c r="G116" i="23"/>
  <c r="AB497" i="2"/>
  <c r="AB495" i="2"/>
  <c r="AB500" i="2"/>
  <c r="AB501" i="2" s="1"/>
  <c r="G128" i="23"/>
  <c r="W504" i="2"/>
  <c r="S523" i="2"/>
  <c r="S128" i="23"/>
  <c r="L128" i="23"/>
  <c r="F121" i="23"/>
  <c r="AC354" i="2"/>
  <c r="AD354" i="2" s="1"/>
  <c r="AA354" i="2"/>
  <c r="P187" i="2"/>
  <c r="P188" i="2"/>
  <c r="M186" i="2"/>
  <c r="BF35" i="2" s="1"/>
  <c r="AR214" i="2"/>
  <c r="L271" i="25" s="1"/>
  <c r="X287" i="25" s="1"/>
  <c r="AR216" i="2"/>
  <c r="L273" i="25" s="1"/>
  <c r="X289" i="25" s="1"/>
  <c r="AR219" i="2"/>
  <c r="L276" i="25" s="1"/>
  <c r="X292" i="25" s="1"/>
  <c r="AR224" i="2"/>
  <c r="L281" i="25" s="1"/>
  <c r="X297" i="25" s="1"/>
  <c r="AR220" i="2"/>
  <c r="L278" i="25" s="1"/>
  <c r="X294" i="25" s="1"/>
  <c r="AR218" i="2"/>
  <c r="L275" i="25" s="1"/>
  <c r="X291" i="25" s="1"/>
  <c r="AR222" i="2"/>
  <c r="L279" i="25" s="1"/>
  <c r="X295" i="25" s="1"/>
  <c r="AR215" i="2"/>
  <c r="L272" i="25" s="1"/>
  <c r="X288" i="25" s="1"/>
  <c r="E67" i="23"/>
  <c r="AR223" i="2"/>
  <c r="L280" i="25" s="1"/>
  <c r="X296" i="25" s="1"/>
  <c r="AR217" i="2"/>
  <c r="L274" i="25" s="1"/>
  <c r="X290" i="25" s="1"/>
  <c r="Q525" i="2"/>
  <c r="T353" i="2"/>
  <c r="AR201" i="2"/>
  <c r="AC504" i="2"/>
  <c r="AD504" i="2" s="1"/>
  <c r="M493" i="2"/>
  <c r="BI51" i="2" s="1"/>
  <c r="BH51" i="2" s="1"/>
  <c r="W522" i="2"/>
  <c r="G141" i="23"/>
  <c r="AF242" i="2"/>
  <c r="AJ242" i="2"/>
  <c r="AE242" i="2"/>
  <c r="AA360" i="2"/>
  <c r="F127" i="23"/>
  <c r="W360" i="2"/>
  <c r="AB362" i="2"/>
  <c r="Z360" i="2"/>
  <c r="Z361" i="2" s="1"/>
  <c r="AC360" i="2"/>
  <c r="M143" i="23"/>
  <c r="M142" i="23"/>
  <c r="M144" i="23"/>
  <c r="P354" i="2"/>
  <c r="P355" i="2"/>
  <c r="N48" i="23"/>
  <c r="AC522" i="2"/>
  <c r="M505" i="2"/>
  <c r="BI55" i="2" s="1"/>
  <c r="Z350" i="2"/>
  <c r="I468" i="2"/>
  <c r="AB469" i="2" s="1"/>
  <c r="I78" i="5"/>
  <c r="J78" i="5" s="1"/>
  <c r="P341" i="2"/>
  <c r="BU32" i="2" s="1"/>
  <c r="N268" i="2"/>
  <c r="N277" i="2"/>
  <c r="N215" i="2"/>
  <c r="N204" i="2"/>
  <c r="N274" i="2"/>
  <c r="N243" i="2"/>
  <c r="N276" i="2"/>
  <c r="N249" i="2"/>
  <c r="N213" i="2"/>
  <c r="N245" i="2"/>
  <c r="N263" i="2"/>
  <c r="N255" i="2"/>
  <c r="N216" i="2"/>
  <c r="N259" i="2"/>
  <c r="N226" i="2"/>
  <c r="N279" i="2"/>
  <c r="N275" i="2"/>
  <c r="N214" i="2"/>
  <c r="N273" i="2"/>
  <c r="N203" i="2"/>
  <c r="N227" i="2"/>
  <c r="N201" i="2"/>
  <c r="N244" i="2"/>
  <c r="N278" i="2"/>
  <c r="N202" i="2"/>
  <c r="L119" i="23"/>
  <c r="S119" i="23"/>
  <c r="K468" i="2"/>
  <c r="G44" i="23"/>
  <c r="F124" i="23"/>
  <c r="AC357" i="2"/>
  <c r="Z357" i="2"/>
  <c r="AA357" i="2"/>
  <c r="L141" i="23"/>
  <c r="S141" i="23"/>
  <c r="P225" i="2"/>
  <c r="N49" i="23"/>
  <c r="AC350" i="2"/>
  <c r="K326" i="2"/>
  <c r="F107" i="23"/>
  <c r="F106" i="23"/>
  <c r="K161" i="23"/>
  <c r="R161" i="23"/>
  <c r="S162" i="23"/>
  <c r="L162" i="23"/>
  <c r="K160" i="23"/>
  <c r="R160" i="23"/>
  <c r="F160" i="23"/>
  <c r="F161" i="23"/>
  <c r="T163" i="23"/>
  <c r="M163" i="23"/>
  <c r="O37" i="5"/>
  <c r="R466" i="2"/>
  <c r="AM9" i="5"/>
  <c r="AL9" i="5"/>
  <c r="N35" i="5"/>
  <c r="U39" i="5"/>
  <c r="K35" i="5"/>
  <c r="R105" i="23"/>
  <c r="K105" i="23"/>
  <c r="D103" i="23"/>
  <c r="P467" i="2"/>
  <c r="P468" i="2"/>
  <c r="M466" i="2"/>
  <c r="BI35" i="2" s="1"/>
  <c r="BH35" i="2" s="1"/>
  <c r="J104" i="23"/>
  <c r="Q104" i="23"/>
  <c r="P326" i="2"/>
  <c r="BU25" i="2" s="1"/>
  <c r="AB187" i="2"/>
  <c r="E104" i="23"/>
  <c r="AA188" i="2"/>
  <c r="AB328" i="2"/>
  <c r="AA329" i="2"/>
  <c r="F105" i="23"/>
  <c r="W329" i="2"/>
  <c r="CD38" i="2" l="1"/>
  <c r="BV38" i="2"/>
  <c r="CC38" i="2" s="1"/>
  <c r="Y344" i="2"/>
  <c r="Y346" i="2"/>
  <c r="P305" i="2"/>
  <c r="BG20" i="2"/>
  <c r="M451" i="2"/>
  <c r="BI26" i="2"/>
  <c r="BH26" i="2" s="1"/>
  <c r="D52" i="20"/>
  <c r="I52" i="20" s="1"/>
  <c r="BX65" i="2"/>
  <c r="CF65" i="2" s="1"/>
  <c r="L67" i="5"/>
  <c r="AV67" i="5"/>
  <c r="BB67" i="5" s="1"/>
  <c r="BN84" i="5" s="1"/>
  <c r="AF492" i="2"/>
  <c r="AK492" i="2"/>
  <c r="L35" i="5"/>
  <c r="AV35" i="5"/>
  <c r="BB35" i="5" s="1"/>
  <c r="BN32" i="5" s="1"/>
  <c r="BM18" i="2"/>
  <c r="CA90" i="2"/>
  <c r="D23" i="5"/>
  <c r="AK8" i="5" s="1"/>
  <c r="AM8" i="5" s="1"/>
  <c r="AR23" i="5"/>
  <c r="AZ23" i="5" s="1"/>
  <c r="BL30" i="5" s="1"/>
  <c r="M171" i="2"/>
  <c r="BM24" i="2"/>
  <c r="P306" i="2"/>
  <c r="Q305" i="2" s="1"/>
  <c r="BG21" i="2"/>
  <c r="AP169" i="2"/>
  <c r="CB34" i="2"/>
  <c r="BV34" i="2"/>
  <c r="CC34" i="2" s="1"/>
  <c r="AF352" i="2"/>
  <c r="AK352" i="2"/>
  <c r="AD331" i="2"/>
  <c r="D26" i="20"/>
  <c r="I26" i="20" s="1"/>
  <c r="BU56" i="2"/>
  <c r="CC56" i="2" s="1"/>
  <c r="CC74" i="2" s="1"/>
  <c r="AD329" i="2"/>
  <c r="AG329" i="2" s="1"/>
  <c r="AG336" i="2" s="1"/>
  <c r="P482" i="2"/>
  <c r="BI47" i="2"/>
  <c r="BH47" i="2" s="1"/>
  <c r="CB26" i="2"/>
  <c r="Q544" i="2"/>
  <c r="Q549" i="2" s="1"/>
  <c r="Q548" i="2" s="1"/>
  <c r="H6" i="5"/>
  <c r="AT6" i="5"/>
  <c r="BA6" i="5" s="1"/>
  <c r="BM28" i="5" s="1"/>
  <c r="AD164" i="2"/>
  <c r="D67" i="20" s="1"/>
  <c r="I67" i="20" s="1"/>
  <c r="D18" i="5"/>
  <c r="AK7" i="5" s="1"/>
  <c r="AM7" i="5" s="1"/>
  <c r="AR18" i="5"/>
  <c r="AZ18" i="5" s="1"/>
  <c r="BL29" i="5" s="1"/>
  <c r="H24" i="5"/>
  <c r="AT24" i="5"/>
  <c r="BA24" i="5" s="1"/>
  <c r="M286" i="2"/>
  <c r="BG6" i="2" s="1"/>
  <c r="BG7" i="2"/>
  <c r="P141" i="2"/>
  <c r="BS41" i="2" s="1"/>
  <c r="BZ41" i="2" s="1"/>
  <c r="BS31" i="2"/>
  <c r="BZ31" i="2" s="1"/>
  <c r="M164" i="2"/>
  <c r="BF18" i="2" s="1"/>
  <c r="BF19" i="2"/>
  <c r="L58" i="5"/>
  <c r="AV58" i="5"/>
  <c r="BB58" i="5" s="1"/>
  <c r="BN78" i="5" s="1"/>
  <c r="L12" i="5"/>
  <c r="AV12" i="5"/>
  <c r="BB12" i="5" s="1"/>
  <c r="CD94" i="2"/>
  <c r="BP40" i="2"/>
  <c r="Q529" i="2"/>
  <c r="G44" i="20"/>
  <c r="L44" i="20" s="1"/>
  <c r="BU68" i="2"/>
  <c r="CC68" i="2" s="1"/>
  <c r="BU67" i="2"/>
  <c r="CC67" i="2" s="1"/>
  <c r="CC66" i="2"/>
  <c r="CC94" i="2"/>
  <c r="CB93" i="2"/>
  <c r="BN35" i="2"/>
  <c r="AC388" i="2"/>
  <c r="AD388" i="2" s="1"/>
  <c r="AD383" i="2" s="1"/>
  <c r="E79" i="20" s="1"/>
  <c r="J79" i="20" s="1"/>
  <c r="BN58" i="2"/>
  <c r="CB103" i="2"/>
  <c r="BV37" i="2"/>
  <c r="CC37" i="2" s="1"/>
  <c r="M310" i="2"/>
  <c r="BG24" i="2"/>
  <c r="Y356" i="2"/>
  <c r="Y358" i="2"/>
  <c r="L24" i="5"/>
  <c r="AV24" i="5"/>
  <c r="BB24" i="5" s="1"/>
  <c r="I83" i="20"/>
  <c r="H67" i="5"/>
  <c r="AT67" i="5"/>
  <c r="BA67" i="5" s="1"/>
  <c r="BM84" i="5" s="1"/>
  <c r="P367" i="2"/>
  <c r="BG55" i="2"/>
  <c r="BH55" i="2" s="1"/>
  <c r="BO40" i="2"/>
  <c r="CB25" i="2"/>
  <c r="BV25" i="2"/>
  <c r="CC25" i="2" s="1"/>
  <c r="P281" i="2"/>
  <c r="BT41" i="2" s="1"/>
  <c r="CA41" i="2" s="1"/>
  <c r="BT31" i="2"/>
  <c r="CA31" i="2" s="1"/>
  <c r="AC469" i="2"/>
  <c r="AD469" i="2" s="1"/>
  <c r="AG469" i="2" s="1"/>
  <c r="AG476" i="2" s="1"/>
  <c r="BP37" i="2"/>
  <c r="BO37" i="2" s="1"/>
  <c r="CB32" i="2"/>
  <c r="AF504" i="2"/>
  <c r="AK504" i="2"/>
  <c r="D6" i="5"/>
  <c r="AK6" i="5" s="1"/>
  <c r="AR6" i="5"/>
  <c r="AZ6" i="5" s="1"/>
  <c r="BL28" i="5" s="1"/>
  <c r="G523" i="2"/>
  <c r="N25" i="23" s="1"/>
  <c r="T144" i="23" s="1"/>
  <c r="BW103" i="2"/>
  <c r="BV36" i="2"/>
  <c r="CC36" i="2" s="1"/>
  <c r="CB36" i="2"/>
  <c r="H52" i="20"/>
  <c r="C16" i="20"/>
  <c r="AD158" i="2"/>
  <c r="AH158" i="2" s="1"/>
  <c r="H33" i="20"/>
  <c r="AD545" i="2"/>
  <c r="AC544" i="2"/>
  <c r="AD544" i="2" s="1"/>
  <c r="H8" i="20"/>
  <c r="E10" i="21"/>
  <c r="AC473" i="2"/>
  <c r="AD474" i="2"/>
  <c r="AH474" i="2" s="1"/>
  <c r="H15" i="20"/>
  <c r="AC549" i="2"/>
  <c r="AD549" i="2" s="1"/>
  <c r="AD550" i="2"/>
  <c r="AC409" i="2"/>
  <c r="AD409" i="2" s="1"/>
  <c r="AD410" i="2"/>
  <c r="AL410" i="2" s="1"/>
  <c r="AD46" i="2"/>
  <c r="C68" i="20" s="1"/>
  <c r="H68" i="20" s="1"/>
  <c r="AM47" i="2"/>
  <c r="AM56" i="2" s="1"/>
  <c r="C31" i="20" s="1"/>
  <c r="E75" i="5"/>
  <c r="F75" i="5" s="1"/>
  <c r="AR505" i="2"/>
  <c r="G174" i="23" s="1"/>
  <c r="AR489" i="2"/>
  <c r="AR492" i="2"/>
  <c r="J24" i="2"/>
  <c r="L51" i="20"/>
  <c r="R74" i="2"/>
  <c r="R73" i="2" s="1"/>
  <c r="T75" i="2"/>
  <c r="M151" i="23"/>
  <c r="S73" i="2"/>
  <c r="Z210" i="2"/>
  <c r="Z209" i="2"/>
  <c r="AD208" i="2"/>
  <c r="AF208" i="2" s="1"/>
  <c r="AC209" i="2"/>
  <c r="AD209" i="2" s="1"/>
  <c r="AK209" i="2" s="1"/>
  <c r="AA210" i="2"/>
  <c r="AA209" i="2"/>
  <c r="G282" i="25"/>
  <c r="AR361" i="2"/>
  <c r="M277" i="25" s="1"/>
  <c r="Y293" i="25" s="1"/>
  <c r="AD342" i="2"/>
  <c r="AH342" i="2" s="1"/>
  <c r="K325" i="25"/>
  <c r="K341" i="25" s="1"/>
  <c r="AD355" i="2"/>
  <c r="AL355" i="2" s="1"/>
  <c r="AC488" i="2"/>
  <c r="AC489" i="2" s="1"/>
  <c r="AD489" i="2" s="1"/>
  <c r="AK489" i="2" s="1"/>
  <c r="AB489" i="2"/>
  <c r="Z222" i="2"/>
  <c r="Z221" i="2"/>
  <c r="AC222" i="2"/>
  <c r="AD222" i="2" s="1"/>
  <c r="AH222" i="2" s="1"/>
  <c r="AC221" i="2"/>
  <c r="AD221" i="2" s="1"/>
  <c r="AK221" i="2" s="1"/>
  <c r="AD360" i="2"/>
  <c r="AF360" i="2" s="1"/>
  <c r="AC361" i="2"/>
  <c r="AD361" i="2" s="1"/>
  <c r="AK361" i="2" s="1"/>
  <c r="AD350" i="2"/>
  <c r="AH350" i="2" s="1"/>
  <c r="AD357" i="2"/>
  <c r="AI357" i="2" s="1"/>
  <c r="AA362" i="2"/>
  <c r="AA361" i="2"/>
  <c r="AA222" i="2"/>
  <c r="AA221" i="2"/>
  <c r="AD147" i="2"/>
  <c r="AN147" i="2" s="1"/>
  <c r="AN196" i="2" s="1"/>
  <c r="AD148" i="2"/>
  <c r="AF148" i="2" s="1"/>
  <c r="AD153" i="2"/>
  <c r="AJ153" i="2" s="1"/>
  <c r="AD162" i="2"/>
  <c r="AL162" i="2" s="1"/>
  <c r="AL196" i="2" s="1"/>
  <c r="D27" i="20" s="1"/>
  <c r="I27" i="20" s="1"/>
  <c r="AD154" i="2"/>
  <c r="AI154" i="2" s="1"/>
  <c r="AD152" i="2"/>
  <c r="AE152" i="2" s="1"/>
  <c r="AD161" i="2"/>
  <c r="AO161" i="2" s="1"/>
  <c r="AD151" i="2"/>
  <c r="AK151" i="2" s="1"/>
  <c r="AD160" i="2"/>
  <c r="AH160" i="2" s="1"/>
  <c r="AD157" i="2"/>
  <c r="AH157" i="2" s="1"/>
  <c r="AD150" i="2"/>
  <c r="AO150" i="2" s="1"/>
  <c r="AD156" i="2"/>
  <c r="AO156" i="2" s="1"/>
  <c r="AD159" i="2"/>
  <c r="AO159" i="2" s="1"/>
  <c r="AD155" i="2"/>
  <c r="AI155" i="2" s="1"/>
  <c r="X309" i="25"/>
  <c r="AJ293" i="25"/>
  <c r="S108" i="23"/>
  <c r="P366" i="2"/>
  <c r="P369" i="2"/>
  <c r="G107" i="23"/>
  <c r="P368" i="2"/>
  <c r="M108" i="23"/>
  <c r="M421" i="2"/>
  <c r="W227" i="25"/>
  <c r="E31" i="25" s="1"/>
  <c r="T109" i="23"/>
  <c r="E421" i="2"/>
  <c r="L451" i="2"/>
  <c r="G40" i="23" s="1"/>
  <c r="K114" i="23"/>
  <c r="T146" i="2"/>
  <c r="AR163" i="2" s="1"/>
  <c r="AF149" i="2"/>
  <c r="J243" i="2"/>
  <c r="S144" i="23"/>
  <c r="AC210" i="2"/>
  <c r="AD210" i="2" s="1"/>
  <c r="AH210" i="2" s="1"/>
  <c r="S202" i="2"/>
  <c r="R202" i="2" s="1"/>
  <c r="F82" i="20"/>
  <c r="K82" i="20" s="1"/>
  <c r="U72" i="5"/>
  <c r="R119" i="23"/>
  <c r="U38" i="5"/>
  <c r="G432" i="2"/>
  <c r="K523" i="2"/>
  <c r="S145" i="23"/>
  <c r="I461" i="2"/>
  <c r="K85" i="5" s="1"/>
  <c r="I85" i="5" s="1"/>
  <c r="I84" i="5" s="1"/>
  <c r="S203" i="2"/>
  <c r="R203" i="2" s="1"/>
  <c r="S142" i="23"/>
  <c r="F159" i="5"/>
  <c r="F170" i="5" s="1"/>
  <c r="AD43" i="20" s="1"/>
  <c r="AD58" i="20" s="1"/>
  <c r="AI58" i="20" s="1"/>
  <c r="D173" i="23"/>
  <c r="K127" i="23"/>
  <c r="O67" i="5"/>
  <c r="F451" i="2"/>
  <c r="G15" i="23" s="1"/>
  <c r="M98" i="23" s="1"/>
  <c r="O58" i="5"/>
  <c r="AB528" i="2"/>
  <c r="G145" i="23" s="1"/>
  <c r="I421" i="2"/>
  <c r="J403" i="2" s="1"/>
  <c r="S215" i="2"/>
  <c r="R215" i="2" s="1"/>
  <c r="R462" i="2"/>
  <c r="R461" i="2" s="1"/>
  <c r="K30" i="5"/>
  <c r="K121" i="23"/>
  <c r="I286" i="2"/>
  <c r="J201" i="2"/>
  <c r="E561" i="2"/>
  <c r="I523" i="2"/>
  <c r="I82" i="5" s="1"/>
  <c r="J82" i="5" s="1"/>
  <c r="J213" i="2"/>
  <c r="S214" i="2"/>
  <c r="AD220" i="2"/>
  <c r="AF220" i="2" s="1"/>
  <c r="O12" i="5"/>
  <c r="L101" i="23"/>
  <c r="W314" i="25"/>
  <c r="E21" i="25" s="1"/>
  <c r="I311" i="2"/>
  <c r="AC311" i="2" s="1"/>
  <c r="I451" i="2"/>
  <c r="H450" i="2" s="1"/>
  <c r="BW91" i="2" s="1"/>
  <c r="N23" i="5"/>
  <c r="R451" i="2"/>
  <c r="R450" i="2" s="1"/>
  <c r="G311" i="2"/>
  <c r="M15" i="23" s="1"/>
  <c r="S98" i="23" s="1"/>
  <c r="M40" i="23"/>
  <c r="L287" i="2"/>
  <c r="L286" i="2" s="1"/>
  <c r="M196" i="2"/>
  <c r="AH56" i="2"/>
  <c r="C32" i="20" s="1"/>
  <c r="H32" i="20" s="1"/>
  <c r="L146" i="2"/>
  <c r="AB163" i="2" s="1"/>
  <c r="AD163" i="2" s="1"/>
  <c r="AK163" i="2" s="1"/>
  <c r="AC173" i="2"/>
  <c r="J51" i="2"/>
  <c r="N24" i="2"/>
  <c r="L97" i="23"/>
  <c r="L96" i="23"/>
  <c r="AC172" i="2"/>
  <c r="L432" i="2"/>
  <c r="J225" i="2"/>
  <c r="R170" i="2"/>
  <c r="AC176" i="2"/>
  <c r="R146" i="2"/>
  <c r="P290" i="2"/>
  <c r="P289" i="2"/>
  <c r="F81" i="5"/>
  <c r="F80" i="5" s="1"/>
  <c r="E80" i="5"/>
  <c r="AL8" i="5"/>
  <c r="AI56" i="2"/>
  <c r="C30" i="20" s="1"/>
  <c r="H30" i="20" s="1"/>
  <c r="E76" i="5"/>
  <c r="F76" i="5" s="1"/>
  <c r="F170" i="2"/>
  <c r="I170" i="2"/>
  <c r="AD177" i="2" s="1"/>
  <c r="AK177" i="2" s="1"/>
  <c r="AB180" i="2"/>
  <c r="I196" i="2"/>
  <c r="K6" i="2"/>
  <c r="AB23" i="2"/>
  <c r="D36" i="23"/>
  <c r="K36" i="23" s="1"/>
  <c r="H7" i="5"/>
  <c r="O24" i="5"/>
  <c r="U14" i="5" s="1"/>
  <c r="J30" i="2"/>
  <c r="P6" i="2"/>
  <c r="AO56" i="2"/>
  <c r="N51" i="2"/>
  <c r="D445" i="2"/>
  <c r="U33" i="5" s="1"/>
  <c r="N20" i="5"/>
  <c r="H445" i="2"/>
  <c r="R445" i="2"/>
  <c r="M446" i="2"/>
  <c r="BI20" i="2" s="1"/>
  <c r="I446" i="2"/>
  <c r="S306" i="2"/>
  <c r="AD307" i="2"/>
  <c r="AF307" i="2" s="1"/>
  <c r="AD308" i="2"/>
  <c r="AI308" i="2" s="1"/>
  <c r="T30" i="5"/>
  <c r="T32" i="5"/>
  <c r="S305" i="2"/>
  <c r="T31" i="5"/>
  <c r="J19" i="5"/>
  <c r="AD305" i="2"/>
  <c r="T33" i="5"/>
  <c r="AD306" i="2"/>
  <c r="AP306" i="2" s="1"/>
  <c r="D304" i="2"/>
  <c r="G19" i="5"/>
  <c r="D336" i="2"/>
  <c r="K7" i="5"/>
  <c r="N7" i="5"/>
  <c r="D426" i="2"/>
  <c r="N30" i="2"/>
  <c r="R286" i="2"/>
  <c r="E175" i="2"/>
  <c r="E152" i="2"/>
  <c r="S23" i="5"/>
  <c r="E166" i="2"/>
  <c r="S21" i="5"/>
  <c r="S22" i="5"/>
  <c r="E193" i="2"/>
  <c r="E188" i="2"/>
  <c r="E172" i="2"/>
  <c r="E149" i="2"/>
  <c r="E186" i="2"/>
  <c r="E147" i="2"/>
  <c r="E165" i="2"/>
  <c r="E150" i="2"/>
  <c r="E157" i="2"/>
  <c r="S28" i="5"/>
  <c r="E189" i="2"/>
  <c r="E192" i="2"/>
  <c r="E146" i="2"/>
  <c r="E183" i="2"/>
  <c r="S27" i="5"/>
  <c r="E154" i="2"/>
  <c r="E151" i="2"/>
  <c r="E187" i="2"/>
  <c r="E167" i="2"/>
  <c r="E171" i="2"/>
  <c r="E173" i="2"/>
  <c r="E185" i="2"/>
  <c r="E176" i="2"/>
  <c r="F43" i="5"/>
  <c r="E190" i="2"/>
  <c r="E181" i="2"/>
  <c r="E168" i="2"/>
  <c r="E164" i="2" s="1"/>
  <c r="E148" i="2"/>
  <c r="E182" i="2"/>
  <c r="S25" i="5"/>
  <c r="E153" i="2"/>
  <c r="E329" i="2"/>
  <c r="E330" i="2"/>
  <c r="E184" i="2"/>
  <c r="E156" i="2"/>
  <c r="S26" i="5"/>
  <c r="E155" i="2"/>
  <c r="E174" i="2"/>
  <c r="C43" i="5"/>
  <c r="AC155" i="2"/>
  <c r="AC159" i="2"/>
  <c r="AC150" i="2"/>
  <c r="AC154" i="2"/>
  <c r="AC147" i="2"/>
  <c r="AC161" i="2"/>
  <c r="AC157" i="2"/>
  <c r="AC156" i="2"/>
  <c r="AC149" i="2"/>
  <c r="AC153" i="2"/>
  <c r="AC160" i="2"/>
  <c r="AC148" i="2"/>
  <c r="AC151" i="2" s="1"/>
  <c r="G146" i="2"/>
  <c r="L11" i="23" s="1"/>
  <c r="AC152" i="2"/>
  <c r="AC162" i="2"/>
  <c r="R311" i="2"/>
  <c r="G23" i="5"/>
  <c r="J23" i="5"/>
  <c r="R312" i="2"/>
  <c r="K23" i="5"/>
  <c r="M427" i="2"/>
  <c r="BI7" i="2" s="1"/>
  <c r="G287" i="2"/>
  <c r="H286" i="2"/>
  <c r="BU89" i="2" s="1"/>
  <c r="AR169" i="2"/>
  <c r="AR165" i="2"/>
  <c r="AR167" i="2"/>
  <c r="AR166" i="2"/>
  <c r="T166" i="2"/>
  <c r="T165" i="2"/>
  <c r="Q87" i="23"/>
  <c r="Q83" i="23"/>
  <c r="Q86" i="23"/>
  <c r="Q81" i="23"/>
  <c r="Q84" i="23"/>
  <c r="Q85" i="23"/>
  <c r="Q88" i="23"/>
  <c r="Q79" i="23"/>
  <c r="Q90" i="23"/>
  <c r="Q89" i="23"/>
  <c r="Q80" i="23"/>
  <c r="Q82" i="23"/>
  <c r="L305" i="2"/>
  <c r="K305" i="2"/>
  <c r="BN19" i="2" s="1"/>
  <c r="I305" i="2"/>
  <c r="R446" i="2"/>
  <c r="N21" i="5"/>
  <c r="I447" i="2"/>
  <c r="M447" i="2"/>
  <c r="R96" i="23"/>
  <c r="R101" i="23"/>
  <c r="R98" i="23"/>
  <c r="R97" i="23"/>
  <c r="H170" i="2"/>
  <c r="BT91" i="2" s="1"/>
  <c r="P148" i="2"/>
  <c r="P149" i="2"/>
  <c r="P147" i="2"/>
  <c r="P150" i="2"/>
  <c r="AL6" i="5"/>
  <c r="AM6" i="5"/>
  <c r="AL7" i="5"/>
  <c r="I427" i="2"/>
  <c r="I426" i="2" s="1"/>
  <c r="H427" i="2"/>
  <c r="J46" i="2"/>
  <c r="J56" i="2"/>
  <c r="N56" i="2"/>
  <c r="L170" i="2"/>
  <c r="P304" i="2"/>
  <c r="BU22" i="2" s="1"/>
  <c r="H304" i="2"/>
  <c r="G305" i="2"/>
  <c r="M13" i="23" s="1"/>
  <c r="AH546" i="2"/>
  <c r="AH551" i="2"/>
  <c r="AA216" i="2"/>
  <c r="AC216" i="2"/>
  <c r="AD216" i="2" s="1"/>
  <c r="AL216" i="2" s="1"/>
  <c r="E123" i="23"/>
  <c r="D126" i="23"/>
  <c r="Z79" i="2"/>
  <c r="Z83" i="2" s="1"/>
  <c r="W79" i="2"/>
  <c r="AB83" i="2"/>
  <c r="AA79" i="2"/>
  <c r="AA83" i="2" s="1"/>
  <c r="AC79" i="2"/>
  <c r="T63" i="2"/>
  <c r="R63" i="2"/>
  <c r="G157" i="23"/>
  <c r="G156" i="23"/>
  <c r="F85" i="23"/>
  <c r="L85" i="23" s="1"/>
  <c r="Z295" i="2"/>
  <c r="Y295" i="2"/>
  <c r="AB71" i="2"/>
  <c r="W67" i="2"/>
  <c r="AC67" i="2"/>
  <c r="D118" i="23"/>
  <c r="AA67" i="2"/>
  <c r="AA71" i="2" s="1"/>
  <c r="Z67" i="2"/>
  <c r="Z71" i="2" s="1"/>
  <c r="AL333" i="2"/>
  <c r="E99" i="23"/>
  <c r="Z174" i="2"/>
  <c r="AA174" i="2"/>
  <c r="AC174" i="2"/>
  <c r="K319" i="25"/>
  <c r="AI298" i="25"/>
  <c r="E20" i="25" s="1"/>
  <c r="J100" i="23"/>
  <c r="Q100" i="23"/>
  <c r="AD30" i="2"/>
  <c r="C66" i="20" s="1"/>
  <c r="H66" i="20" s="1"/>
  <c r="AC158" i="2"/>
  <c r="Q543" i="2"/>
  <c r="AB289" i="2"/>
  <c r="AA298" i="2"/>
  <c r="AA435" i="2"/>
  <c r="Y207" i="2"/>
  <c r="Y211" i="2" s="1"/>
  <c r="AB206" i="2"/>
  <c r="J125" i="23"/>
  <c r="Q125" i="23"/>
  <c r="S61" i="2"/>
  <c r="R62" i="2"/>
  <c r="T62" i="2"/>
  <c r="E278" i="25" s="1"/>
  <c r="Q294" i="25" s="1"/>
  <c r="J117" i="23"/>
  <c r="Q117" i="23"/>
  <c r="F81" i="20"/>
  <c r="K81" i="20" s="1"/>
  <c r="Y219" i="2"/>
  <c r="Y223" i="2" s="1"/>
  <c r="AB218" i="2"/>
  <c r="AC204" i="2"/>
  <c r="AD204" i="2" s="1"/>
  <c r="AL204" i="2" s="1"/>
  <c r="E115" i="23"/>
  <c r="AA204" i="2"/>
  <c r="P471" i="2"/>
  <c r="BW26" i="2" s="1"/>
  <c r="CD26" i="2" s="1"/>
  <c r="Q472" i="2"/>
  <c r="Q471" i="2" s="1"/>
  <c r="F85" i="20"/>
  <c r="K85" i="20" s="1"/>
  <c r="M158" i="23"/>
  <c r="T158" i="23"/>
  <c r="Y228" i="2"/>
  <c r="Y237" i="2" s="1"/>
  <c r="Y175" i="2"/>
  <c r="Y158" i="2"/>
  <c r="AI192" i="2"/>
  <c r="D69" i="20"/>
  <c r="I69" i="20" s="1"/>
  <c r="F49" i="20"/>
  <c r="K49" i="20" s="1"/>
  <c r="L49" i="20"/>
  <c r="L113" i="23"/>
  <c r="AJ290" i="25"/>
  <c r="X306" i="25"/>
  <c r="AJ295" i="25"/>
  <c r="X311" i="25"/>
  <c r="AJ292" i="25"/>
  <c r="X308" i="25"/>
  <c r="X310" i="25"/>
  <c r="AJ294" i="25"/>
  <c r="X298" i="25"/>
  <c r="F32" i="25" s="1"/>
  <c r="AJ287" i="25"/>
  <c r="X303" i="25"/>
  <c r="AJ297" i="25"/>
  <c r="X313" i="25"/>
  <c r="AJ291" i="25"/>
  <c r="X307" i="25"/>
  <c r="AJ289" i="25"/>
  <c r="X305" i="25"/>
  <c r="T493" i="2"/>
  <c r="AJ296" i="25"/>
  <c r="X312" i="25"/>
  <c r="X304" i="25"/>
  <c r="AJ288" i="25"/>
  <c r="L116" i="23"/>
  <c r="S342" i="2"/>
  <c r="S341" i="2" s="1"/>
  <c r="L114" i="23"/>
  <c r="W488" i="2"/>
  <c r="P483" i="2"/>
  <c r="P481" i="2" s="1"/>
  <c r="BW32" i="2" s="1"/>
  <c r="CD32" i="2" s="1"/>
  <c r="AA488" i="2"/>
  <c r="AA483" i="2"/>
  <c r="AB490" i="2"/>
  <c r="AA482" i="2"/>
  <c r="G113" i="23"/>
  <c r="T113" i="23" s="1"/>
  <c r="AC483" i="2"/>
  <c r="AD483" i="2" s="1"/>
  <c r="AL483" i="2" s="1"/>
  <c r="R343" i="2"/>
  <c r="Z488" i="2"/>
  <c r="G119" i="23"/>
  <c r="M119" i="23" s="1"/>
  <c r="M120" i="23"/>
  <c r="H466" i="2"/>
  <c r="BW93" i="2" s="1"/>
  <c r="J33" i="20"/>
  <c r="AD326" i="2"/>
  <c r="E68" i="20" s="1"/>
  <c r="L466" i="2"/>
  <c r="M561" i="2"/>
  <c r="P186" i="2"/>
  <c r="BT25" i="2" s="1"/>
  <c r="CA25" i="2" s="1"/>
  <c r="P353" i="2"/>
  <c r="BU33" i="2" s="1"/>
  <c r="Q523" i="2"/>
  <c r="T128" i="23"/>
  <c r="M128" i="23"/>
  <c r="N50" i="23"/>
  <c r="L78" i="5"/>
  <c r="S121" i="23"/>
  <c r="L121" i="23"/>
  <c r="AC500" i="2"/>
  <c r="AC501" i="2" s="1"/>
  <c r="AD501" i="2" s="1"/>
  <c r="AK501" i="2" s="1"/>
  <c r="Z500" i="2"/>
  <c r="Z501" i="2" s="1"/>
  <c r="AA500" i="2"/>
  <c r="G127" i="23"/>
  <c r="AB502" i="2"/>
  <c r="W500" i="2"/>
  <c r="T116" i="23"/>
  <c r="M116" i="23"/>
  <c r="S122" i="23"/>
  <c r="L122" i="23"/>
  <c r="N44" i="23"/>
  <c r="N281" i="2"/>
  <c r="T143" i="23"/>
  <c r="S355" i="2"/>
  <c r="S354" i="2"/>
  <c r="Z362" i="2"/>
  <c r="M141" i="23"/>
  <c r="T141" i="23"/>
  <c r="E172" i="23"/>
  <c r="AC494" i="2"/>
  <c r="AD494" i="2" s="1"/>
  <c r="G121" i="23"/>
  <c r="AA494" i="2"/>
  <c r="AH482" i="2"/>
  <c r="AH354" i="2"/>
  <c r="AA497" i="2"/>
  <c r="G124" i="23"/>
  <c r="Z497" i="2"/>
  <c r="AC497" i="2"/>
  <c r="AD497" i="2" s="1"/>
  <c r="AI497" i="2" s="1"/>
  <c r="P508" i="2"/>
  <c r="P506" i="2"/>
  <c r="P509" i="2"/>
  <c r="P507" i="2"/>
  <c r="AR364" i="2"/>
  <c r="M281" i="25" s="1"/>
  <c r="Y297" i="25" s="1"/>
  <c r="AR360" i="2"/>
  <c r="M278" i="25" s="1"/>
  <c r="Y294" i="25" s="1"/>
  <c r="AR359" i="2"/>
  <c r="M276" i="25" s="1"/>
  <c r="Y292" i="25" s="1"/>
  <c r="AR362" i="2"/>
  <c r="M279" i="25" s="1"/>
  <c r="Y295" i="25" s="1"/>
  <c r="AR354" i="2"/>
  <c r="M271" i="25" s="1"/>
  <c r="Y287" i="25" s="1"/>
  <c r="AR357" i="2"/>
  <c r="M274" i="25" s="1"/>
  <c r="Y290" i="25" s="1"/>
  <c r="AR358" i="2"/>
  <c r="M275" i="25" s="1"/>
  <c r="Y291" i="25" s="1"/>
  <c r="F67" i="23"/>
  <c r="AR363" i="2"/>
  <c r="M280" i="25" s="1"/>
  <c r="Y296" i="25" s="1"/>
  <c r="AR356" i="2"/>
  <c r="M273" i="25" s="1"/>
  <c r="Y289" i="25" s="1"/>
  <c r="AR355" i="2"/>
  <c r="M272" i="25" s="1"/>
  <c r="Y288" i="25" s="1"/>
  <c r="AJ382" i="2"/>
  <c r="AF382" i="2"/>
  <c r="AE382" i="2"/>
  <c r="S124" i="23"/>
  <c r="L124" i="23"/>
  <c r="I466" i="2"/>
  <c r="F466" i="2"/>
  <c r="AD522" i="2"/>
  <c r="AK522" i="2" s="1"/>
  <c r="AC362" i="2"/>
  <c r="L127" i="23"/>
  <c r="S127" i="23"/>
  <c r="P495" i="2"/>
  <c r="P494" i="2"/>
  <c r="AR213" i="2"/>
  <c r="E173" i="23" s="1"/>
  <c r="AC495" i="2"/>
  <c r="AD495" i="2" s="1"/>
  <c r="AL495" i="2" s="1"/>
  <c r="AA495" i="2"/>
  <c r="G122" i="23"/>
  <c r="AC187" i="2"/>
  <c r="AD187" i="2" s="1"/>
  <c r="AD188" i="2"/>
  <c r="AQ188" i="2" s="1"/>
  <c r="AQ196" i="2" s="1"/>
  <c r="D33" i="20" s="1"/>
  <c r="T114" i="23"/>
  <c r="M114" i="23"/>
  <c r="AR486" i="2"/>
  <c r="AR484" i="2"/>
  <c r="AR485" i="2"/>
  <c r="AR482" i="2"/>
  <c r="AR491" i="2"/>
  <c r="AR488" i="2"/>
  <c r="AR483" i="2"/>
  <c r="G66" i="23"/>
  <c r="AR487" i="2"/>
  <c r="AR490" i="2"/>
  <c r="AR341" i="2"/>
  <c r="L107" i="23"/>
  <c r="S107" i="23"/>
  <c r="L106" i="23"/>
  <c r="S106" i="23"/>
  <c r="M162" i="23"/>
  <c r="T162" i="23"/>
  <c r="L161" i="23"/>
  <c r="S161" i="23"/>
  <c r="G160" i="23"/>
  <c r="G161" i="23"/>
  <c r="S160" i="23"/>
  <c r="L160" i="23"/>
  <c r="O35" i="5"/>
  <c r="P466" i="2"/>
  <c r="BW25" i="2" s="1"/>
  <c r="CD25" i="2" s="1"/>
  <c r="S105" i="23"/>
  <c r="L105" i="23"/>
  <c r="R104" i="23"/>
  <c r="K104" i="23"/>
  <c r="J31" i="20"/>
  <c r="E13" i="20"/>
  <c r="G15" i="21" s="1"/>
  <c r="E103" i="23"/>
  <c r="AA187" i="2"/>
  <c r="J103" i="23"/>
  <c r="Q103" i="23"/>
  <c r="AB327" i="2"/>
  <c r="AA328" i="2"/>
  <c r="F104" i="23"/>
  <c r="AB468" i="2"/>
  <c r="G105" i="23"/>
  <c r="AA469" i="2"/>
  <c r="W469" i="2"/>
  <c r="J15" i="20"/>
  <c r="H23" i="5" l="1"/>
  <c r="AT23" i="5"/>
  <c r="BA23" i="5" s="1"/>
  <c r="BM30" i="5" s="1"/>
  <c r="BO58" i="2"/>
  <c r="Y484" i="2"/>
  <c r="Y486" i="2"/>
  <c r="L23" i="5"/>
  <c r="AV23" i="5"/>
  <c r="BB23" i="5" s="1"/>
  <c r="BN30" i="5" s="1"/>
  <c r="AC23" i="2"/>
  <c r="BZ89" i="2"/>
  <c r="BL6" i="2"/>
  <c r="Q306" i="2"/>
  <c r="F44" i="20"/>
  <c r="K44" i="20" s="1"/>
  <c r="G26" i="20"/>
  <c r="BU59" i="2"/>
  <c r="CC59" i="2" s="1"/>
  <c r="CC77" i="2" s="1"/>
  <c r="M450" i="2"/>
  <c r="BI24" i="2"/>
  <c r="BH24" i="2" s="1"/>
  <c r="D8" i="20"/>
  <c r="AC468" i="2"/>
  <c r="AD468" i="2" s="1"/>
  <c r="AQ468" i="2" s="1"/>
  <c r="AQ476" i="2" s="1"/>
  <c r="G33" i="20" s="1"/>
  <c r="G304" i="2"/>
  <c r="BU90" i="2"/>
  <c r="L7" i="5"/>
  <c r="AV7" i="5"/>
  <c r="BB7" i="5" s="1"/>
  <c r="P288" i="2"/>
  <c r="AC528" i="2"/>
  <c r="AD528" i="2" s="1"/>
  <c r="CD103" i="2"/>
  <c r="BP58" i="2"/>
  <c r="AF388" i="2"/>
  <c r="AD543" i="2"/>
  <c r="H16" i="20"/>
  <c r="E18" i="21"/>
  <c r="Y496" i="2"/>
  <c r="Y498" i="2"/>
  <c r="BV26" i="2"/>
  <c r="CC26" i="2" s="1"/>
  <c r="E26" i="20"/>
  <c r="BU57" i="2"/>
  <c r="M170" i="2"/>
  <c r="BF24" i="2"/>
  <c r="BH20" i="2"/>
  <c r="CB33" i="2"/>
  <c r="CB22" i="2"/>
  <c r="P446" i="2"/>
  <c r="BI21" i="2"/>
  <c r="H19" i="5"/>
  <c r="AT19" i="5"/>
  <c r="BA19" i="5" s="1"/>
  <c r="N389" i="2"/>
  <c r="BG67" i="2"/>
  <c r="BH7" i="2"/>
  <c r="D43" i="5"/>
  <c r="AK12" i="5" s="1"/>
  <c r="AR43" i="5"/>
  <c r="AZ43" i="5" s="1"/>
  <c r="BL34" i="5" s="1"/>
  <c r="N153" i="2"/>
  <c r="BF43" i="2"/>
  <c r="BG23" i="2"/>
  <c r="P312" i="2"/>
  <c r="P311" i="2"/>
  <c r="P310" i="2" s="1"/>
  <c r="BU23" i="2" s="1"/>
  <c r="N559" i="2"/>
  <c r="BI67" i="2"/>
  <c r="T142" i="23"/>
  <c r="P56" i="2"/>
  <c r="BS27" i="2" s="1"/>
  <c r="BZ27" i="2" s="1"/>
  <c r="BS21" i="2"/>
  <c r="BZ21" i="2" s="1"/>
  <c r="P287" i="2"/>
  <c r="P286" i="2" s="1"/>
  <c r="AP388" i="2"/>
  <c r="AP421" i="2" s="1"/>
  <c r="L30" i="5"/>
  <c r="AV30" i="5"/>
  <c r="BB30" i="5" s="1"/>
  <c r="BN31" i="5" s="1"/>
  <c r="T145" i="23"/>
  <c r="BV32" i="2"/>
  <c r="CC32" i="2" s="1"/>
  <c r="CC103" i="2"/>
  <c r="BH21" i="2"/>
  <c r="AD548" i="2"/>
  <c r="C13" i="20"/>
  <c r="H31" i="20"/>
  <c r="AC472" i="2"/>
  <c r="AD472" i="2" s="1"/>
  <c r="AD473" i="2"/>
  <c r="AL473" i="2" s="1"/>
  <c r="AD408" i="2"/>
  <c r="E84" i="20" s="1"/>
  <c r="J84" i="20" s="1"/>
  <c r="AI409" i="2"/>
  <c r="N418" i="2"/>
  <c r="AH161" i="2"/>
  <c r="N365" i="2"/>
  <c r="N413" i="2"/>
  <c r="E274" i="25"/>
  <c r="Q290" i="25" s="1"/>
  <c r="Q306" i="25" s="1"/>
  <c r="AC490" i="2"/>
  <c r="AD490" i="2" s="1"/>
  <c r="AH490" i="2" s="1"/>
  <c r="AD488" i="2"/>
  <c r="AF488" i="2" s="1"/>
  <c r="L325" i="25"/>
  <c r="L341" i="25" s="1"/>
  <c r="AA502" i="2"/>
  <c r="AA501" i="2"/>
  <c r="AA490" i="2"/>
  <c r="AA489" i="2"/>
  <c r="AC178" i="2"/>
  <c r="AC177" i="2"/>
  <c r="Y309" i="25"/>
  <c r="AK293" i="25"/>
  <c r="Z490" i="2"/>
  <c r="Z489" i="2"/>
  <c r="AD291" i="2"/>
  <c r="AK291" i="2" s="1"/>
  <c r="AD294" i="2"/>
  <c r="AI294" i="2" s="1"/>
  <c r="AD287" i="2"/>
  <c r="AN287" i="2" s="1"/>
  <c r="AN336" i="2" s="1"/>
  <c r="AD301" i="2"/>
  <c r="AH301" i="2" s="1"/>
  <c r="AD302" i="2"/>
  <c r="AL302" i="2" s="1"/>
  <c r="AL336" i="2" s="1"/>
  <c r="E27" i="20" s="1"/>
  <c r="J27" i="20" s="1"/>
  <c r="AD297" i="2"/>
  <c r="AH297" i="2" s="1"/>
  <c r="AD290" i="2"/>
  <c r="AD292" i="2"/>
  <c r="AE292" i="2" s="1"/>
  <c r="AD300" i="2"/>
  <c r="AH300" i="2" s="1"/>
  <c r="AD288" i="2"/>
  <c r="AF288" i="2" s="1"/>
  <c r="AD293" i="2"/>
  <c r="AJ293" i="2" s="1"/>
  <c r="AD296" i="2"/>
  <c r="AO296" i="2" s="1"/>
  <c r="AD299" i="2"/>
  <c r="AO299" i="2" s="1"/>
  <c r="T149" i="2"/>
  <c r="AR151" i="2"/>
  <c r="L60" i="25" s="1"/>
  <c r="X82" i="25" s="1"/>
  <c r="AD295" i="2"/>
  <c r="AI295" i="2" s="1"/>
  <c r="AD362" i="2"/>
  <c r="AH362" i="2" s="1"/>
  <c r="I282" i="25"/>
  <c r="H282" i="25" s="1"/>
  <c r="AR501" i="2"/>
  <c r="O277" i="25" s="1"/>
  <c r="C35" i="20"/>
  <c r="H35" i="20" s="1"/>
  <c r="AD289" i="2"/>
  <c r="AF289" i="2" s="1"/>
  <c r="AD434" i="2"/>
  <c r="AI434" i="2" s="1"/>
  <c r="AD431" i="2"/>
  <c r="AK431" i="2" s="1"/>
  <c r="AD437" i="2"/>
  <c r="AH437" i="2" s="1"/>
  <c r="AD436" i="2"/>
  <c r="AO436" i="2" s="1"/>
  <c r="AD440" i="2"/>
  <c r="AH440" i="2" s="1"/>
  <c r="AD432" i="2"/>
  <c r="AE432" i="2" s="1"/>
  <c r="AD441" i="2"/>
  <c r="AO441" i="2" s="1"/>
  <c r="AD427" i="2"/>
  <c r="AN427" i="2" s="1"/>
  <c r="AN476" i="2" s="1"/>
  <c r="AD433" i="2"/>
  <c r="AJ433" i="2" s="1"/>
  <c r="AD428" i="2"/>
  <c r="AF428" i="2" s="1"/>
  <c r="AD430" i="2"/>
  <c r="AF430" i="2" s="1"/>
  <c r="AD442" i="2"/>
  <c r="AL442" i="2" s="1"/>
  <c r="AD439" i="2"/>
  <c r="AH439" i="2" s="1"/>
  <c r="T148" i="2"/>
  <c r="P365" i="2"/>
  <c r="G106" i="23"/>
  <c r="M106" i="23" s="1"/>
  <c r="N354" i="2"/>
  <c r="N416" i="2"/>
  <c r="N415" i="2"/>
  <c r="N417" i="2"/>
  <c r="N367" i="2"/>
  <c r="N399" i="2"/>
  <c r="N408" i="2"/>
  <c r="N341" i="2"/>
  <c r="N356" i="2"/>
  <c r="N355" i="2"/>
  <c r="K84" i="5"/>
  <c r="L66" i="25"/>
  <c r="T108" i="23"/>
  <c r="AR152" i="2"/>
  <c r="L62" i="25" s="1"/>
  <c r="X84" i="25" s="1"/>
  <c r="X106" i="25" s="1"/>
  <c r="AR147" i="2"/>
  <c r="L50" i="25" s="1"/>
  <c r="AR162" i="2"/>
  <c r="L55" i="25" s="1"/>
  <c r="X77" i="25" s="1"/>
  <c r="X99" i="25" s="1"/>
  <c r="AR161" i="2"/>
  <c r="L52" i="25" s="1"/>
  <c r="X74" i="25" s="1"/>
  <c r="X96" i="25" s="1"/>
  <c r="N343" i="2"/>
  <c r="N385" i="2"/>
  <c r="N344" i="2"/>
  <c r="N403" i="2"/>
  <c r="N342" i="2"/>
  <c r="N366" i="2"/>
  <c r="N353" i="2"/>
  <c r="N395" i="2"/>
  <c r="N419" i="2"/>
  <c r="N414" i="2"/>
  <c r="N383" i="2"/>
  <c r="N384" i="2"/>
  <c r="J85" i="5"/>
  <c r="J84" i="5" s="1"/>
  <c r="L85" i="5"/>
  <c r="L84" i="5" s="1"/>
  <c r="AH159" i="2"/>
  <c r="M145" i="23"/>
  <c r="K451" i="2"/>
  <c r="BP24" i="2" s="1"/>
  <c r="BO24" i="2" s="1"/>
  <c r="T203" i="2"/>
  <c r="AR160" i="2"/>
  <c r="L51" i="25" s="1"/>
  <c r="X73" i="25" s="1"/>
  <c r="AJ73" i="25" s="1"/>
  <c r="AR157" i="2"/>
  <c r="L63" i="25" s="1"/>
  <c r="X85" i="25" s="1"/>
  <c r="X107" i="25" s="1"/>
  <c r="AR148" i="2"/>
  <c r="L61" i="25" s="1"/>
  <c r="X83" i="25" s="1"/>
  <c r="AJ83" i="25" s="1"/>
  <c r="AF150" i="2"/>
  <c r="AR155" i="2"/>
  <c r="L56" i="25" s="1"/>
  <c r="X78" i="25" s="1"/>
  <c r="AJ78" i="25" s="1"/>
  <c r="T150" i="2"/>
  <c r="AR154" i="2"/>
  <c r="L53" i="25" s="1"/>
  <c r="X75" i="25" s="1"/>
  <c r="AJ75" i="25" s="1"/>
  <c r="AR156" i="2"/>
  <c r="L58" i="25" s="1"/>
  <c r="AR159" i="2"/>
  <c r="L65" i="25" s="1"/>
  <c r="X87" i="25" s="1"/>
  <c r="X109" i="25" s="1"/>
  <c r="AI156" i="2"/>
  <c r="N40" i="23"/>
  <c r="E63" i="23"/>
  <c r="AR149" i="2"/>
  <c r="L57" i="25" s="1"/>
  <c r="X79" i="25" s="1"/>
  <c r="X101" i="25" s="1"/>
  <c r="F67" i="25"/>
  <c r="AR158" i="2"/>
  <c r="L64" i="25" s="1"/>
  <c r="X86" i="25" s="1"/>
  <c r="AJ86" i="25" s="1"/>
  <c r="AR153" i="2"/>
  <c r="L54" i="25" s="1"/>
  <c r="X76" i="25" s="1"/>
  <c r="X98" i="25" s="1"/>
  <c r="T147" i="2"/>
  <c r="AR150" i="2"/>
  <c r="L59" i="25" s="1"/>
  <c r="X81" i="25" s="1"/>
  <c r="AJ81" i="25" s="1"/>
  <c r="G75" i="5"/>
  <c r="H75" i="5" s="1"/>
  <c r="J366" i="2"/>
  <c r="S201" i="2"/>
  <c r="T202" i="2"/>
  <c r="M101" i="23"/>
  <c r="R201" i="2"/>
  <c r="J389" i="2"/>
  <c r="J408" i="2"/>
  <c r="T215" i="2"/>
  <c r="F274" i="25" s="1"/>
  <c r="R290" i="25" s="1"/>
  <c r="J367" i="2"/>
  <c r="AI43" i="20"/>
  <c r="M96" i="23"/>
  <c r="G451" i="2"/>
  <c r="N15" i="23" s="1"/>
  <c r="T97" i="23" s="1"/>
  <c r="J395" i="2"/>
  <c r="M97" i="23"/>
  <c r="S213" i="2"/>
  <c r="T214" i="2"/>
  <c r="AF290" i="2"/>
  <c r="R214" i="2"/>
  <c r="R213" i="2" s="1"/>
  <c r="T286" i="2"/>
  <c r="AR303" i="2" s="1"/>
  <c r="N187" i="2"/>
  <c r="J384" i="2"/>
  <c r="N146" i="2"/>
  <c r="J355" i="2"/>
  <c r="J354" i="2"/>
  <c r="J385" i="2"/>
  <c r="J343" i="2"/>
  <c r="J399" i="2"/>
  <c r="W315" i="25"/>
  <c r="E33" i="25" s="1"/>
  <c r="J281" i="2"/>
  <c r="J356" i="2"/>
  <c r="J344" i="2"/>
  <c r="J342" i="2"/>
  <c r="O30" i="5"/>
  <c r="AB460" i="2"/>
  <c r="I561" i="2"/>
  <c r="J506" i="2" s="1"/>
  <c r="N151" i="2"/>
  <c r="K82" i="5"/>
  <c r="L82" i="5" s="1"/>
  <c r="N148" i="2"/>
  <c r="N193" i="2"/>
  <c r="S97" i="23"/>
  <c r="N165" i="2"/>
  <c r="N184" i="2"/>
  <c r="N150" i="2"/>
  <c r="N175" i="2"/>
  <c r="G170" i="2"/>
  <c r="K287" i="2"/>
  <c r="BN7" i="2" s="1"/>
  <c r="N152" i="2"/>
  <c r="N185" i="2"/>
  <c r="N147" i="2"/>
  <c r="N188" i="2"/>
  <c r="N190" i="2"/>
  <c r="N171" i="2"/>
  <c r="N182" i="2"/>
  <c r="N167" i="2"/>
  <c r="L450" i="2"/>
  <c r="K450" i="2" s="1"/>
  <c r="AC451" i="2"/>
  <c r="AB320" i="2"/>
  <c r="AC316" i="2"/>
  <c r="L310" i="2"/>
  <c r="I310" i="2"/>
  <c r="H310" i="2"/>
  <c r="BU91" i="2" s="1"/>
  <c r="G76" i="5"/>
  <c r="F310" i="2"/>
  <c r="AC312" i="2"/>
  <c r="AC313" i="2"/>
  <c r="I336" i="2"/>
  <c r="J307" i="2" s="1"/>
  <c r="K146" i="2"/>
  <c r="S96" i="23"/>
  <c r="E36" i="23"/>
  <c r="L36" i="23" s="1"/>
  <c r="I450" i="2"/>
  <c r="AC452" i="2"/>
  <c r="AC453" i="2"/>
  <c r="AC456" i="2"/>
  <c r="K76" i="5"/>
  <c r="F450" i="2"/>
  <c r="G450" i="2" s="1"/>
  <c r="S304" i="2"/>
  <c r="S101" i="23"/>
  <c r="N183" i="2"/>
  <c r="N192" i="2"/>
  <c r="N154" i="2"/>
  <c r="N174" i="2"/>
  <c r="N176" i="2"/>
  <c r="N173" i="2"/>
  <c r="N181" i="2"/>
  <c r="N156" i="2"/>
  <c r="N157" i="2"/>
  <c r="N155" i="2"/>
  <c r="N189" i="2"/>
  <c r="N166" i="2"/>
  <c r="N172" i="2"/>
  <c r="N168" i="2"/>
  <c r="N149" i="2"/>
  <c r="R61" i="2"/>
  <c r="R196" i="2"/>
  <c r="R444" i="2"/>
  <c r="Q304" i="2"/>
  <c r="R310" i="2"/>
  <c r="R336" i="2" s="1"/>
  <c r="E191" i="2"/>
  <c r="U30" i="5"/>
  <c r="K170" i="2"/>
  <c r="U32" i="5"/>
  <c r="S446" i="2"/>
  <c r="E170" i="2"/>
  <c r="F74" i="5"/>
  <c r="E147" i="5" s="1"/>
  <c r="E166" i="5" s="1"/>
  <c r="AC39" i="20" s="1"/>
  <c r="AC54" i="20" s="1"/>
  <c r="AH54" i="20" s="1"/>
  <c r="P146" i="2"/>
  <c r="BT21" i="2" s="1"/>
  <c r="CA21" i="2" s="1"/>
  <c r="E74" i="5"/>
  <c r="E125" i="5" s="1"/>
  <c r="E137" i="5" s="1"/>
  <c r="AC11" i="20" s="1"/>
  <c r="J146" i="2"/>
  <c r="J171" i="2"/>
  <c r="J150" i="2"/>
  <c r="J157" i="2"/>
  <c r="J167" i="2"/>
  <c r="J190" i="2"/>
  <c r="J172" i="2"/>
  <c r="J174" i="2"/>
  <c r="J181" i="2"/>
  <c r="J183" i="2"/>
  <c r="J193" i="2"/>
  <c r="J173" i="2"/>
  <c r="J188" i="2"/>
  <c r="J176" i="2"/>
  <c r="J175" i="2"/>
  <c r="J149" i="2"/>
  <c r="J166" i="2"/>
  <c r="J156" i="2"/>
  <c r="J148" i="2"/>
  <c r="J168" i="2"/>
  <c r="J182" i="2"/>
  <c r="J165" i="2"/>
  <c r="J153" i="2"/>
  <c r="J154" i="2"/>
  <c r="J192" i="2"/>
  <c r="J185" i="2"/>
  <c r="J155" i="2"/>
  <c r="J187" i="2"/>
  <c r="J152" i="2"/>
  <c r="J184" i="2"/>
  <c r="J147" i="2"/>
  <c r="J189" i="2"/>
  <c r="J151" i="2"/>
  <c r="AD173" i="2"/>
  <c r="AI173" i="2" s="1"/>
  <c r="AD171" i="2"/>
  <c r="AP171" i="2" s="1"/>
  <c r="AP196" i="2" s="1"/>
  <c r="AD178" i="2"/>
  <c r="AH178" i="2" s="1"/>
  <c r="T170" i="2"/>
  <c r="AR177" i="2" s="1"/>
  <c r="L194" i="25" s="1"/>
  <c r="X208" i="25" s="1"/>
  <c r="AD176" i="2"/>
  <c r="AF176" i="2" s="1"/>
  <c r="AD172" i="2"/>
  <c r="AH172" i="2" s="1"/>
  <c r="E129" i="5"/>
  <c r="E139" i="5" s="1"/>
  <c r="AC13" i="20" s="1"/>
  <c r="E151" i="5"/>
  <c r="E168" i="5" s="1"/>
  <c r="AC41" i="20" s="1"/>
  <c r="AC56" i="20" s="1"/>
  <c r="F83" i="5"/>
  <c r="E130" i="5" s="1"/>
  <c r="E140" i="5" s="1"/>
  <c r="AC14" i="20" s="1"/>
  <c r="K75" i="5"/>
  <c r="O23" i="5"/>
  <c r="AR168" i="2"/>
  <c r="AR164" i="2" s="1"/>
  <c r="E170" i="23" s="1"/>
  <c r="E64" i="23"/>
  <c r="AH305" i="2"/>
  <c r="G445" i="2"/>
  <c r="N13" i="23" s="1"/>
  <c r="H444" i="2"/>
  <c r="F36" i="23"/>
  <c r="M36" i="23" s="1"/>
  <c r="AB303" i="2"/>
  <c r="AD303" i="2" s="1"/>
  <c r="AK303" i="2" s="1"/>
  <c r="K286" i="2"/>
  <c r="Y163" i="2"/>
  <c r="Y242" i="2" s="1"/>
  <c r="E91" i="23"/>
  <c r="AD146" i="2"/>
  <c r="D65" i="20" s="1"/>
  <c r="W163" i="2"/>
  <c r="AD174" i="2"/>
  <c r="AI174" i="2" s="1"/>
  <c r="I304" i="2"/>
  <c r="G81" i="5"/>
  <c r="L427" i="2"/>
  <c r="M426" i="2"/>
  <c r="BI6" i="2" s="1"/>
  <c r="BH6" i="2" s="1"/>
  <c r="E196" i="2"/>
  <c r="T304" i="2"/>
  <c r="J18" i="5"/>
  <c r="T22" i="5"/>
  <c r="T37" i="5"/>
  <c r="T26" i="5"/>
  <c r="G18" i="5"/>
  <c r="L445" i="2"/>
  <c r="I445" i="2"/>
  <c r="K445" i="2"/>
  <c r="W23" i="2"/>
  <c r="Y23" i="2"/>
  <c r="Y102" i="2" s="1"/>
  <c r="AD23" i="2"/>
  <c r="AK23" i="2" s="1"/>
  <c r="AK56" i="2" s="1"/>
  <c r="D91" i="23"/>
  <c r="F38" i="23"/>
  <c r="M38" i="23" s="1"/>
  <c r="L304" i="2"/>
  <c r="K304" i="2" s="1"/>
  <c r="AM12" i="5"/>
  <c r="AL12" i="5"/>
  <c r="T28" i="5"/>
  <c r="E293" i="2"/>
  <c r="E324" i="2"/>
  <c r="E313" i="2"/>
  <c r="E291" i="2"/>
  <c r="T25" i="5"/>
  <c r="G43" i="5"/>
  <c r="E294" i="2"/>
  <c r="E289" i="2"/>
  <c r="E308" i="2"/>
  <c r="E314" i="2"/>
  <c r="J43" i="5"/>
  <c r="E327" i="2"/>
  <c r="E311" i="2"/>
  <c r="E325" i="2"/>
  <c r="T21" i="5"/>
  <c r="E328" i="2"/>
  <c r="E321" i="2"/>
  <c r="E292" i="2"/>
  <c r="E290" i="2"/>
  <c r="E332" i="2"/>
  <c r="E307" i="2"/>
  <c r="E286" i="2"/>
  <c r="E315" i="2"/>
  <c r="E287" i="2"/>
  <c r="T23" i="5"/>
  <c r="E305" i="2"/>
  <c r="E312" i="2"/>
  <c r="T27" i="5"/>
  <c r="E322" i="2"/>
  <c r="E316" i="2"/>
  <c r="E333" i="2"/>
  <c r="E296" i="2"/>
  <c r="E306" i="2"/>
  <c r="E295" i="2"/>
  <c r="E288" i="2"/>
  <c r="E323" i="2"/>
  <c r="E297" i="2"/>
  <c r="G427" i="2"/>
  <c r="H426" i="2"/>
  <c r="BW89" i="2" s="1"/>
  <c r="AC309" i="2"/>
  <c r="AD309" i="2" s="1"/>
  <c r="M305" i="2"/>
  <c r="BG19" i="2" s="1"/>
  <c r="AC288" i="2"/>
  <c r="AC291" i="2" s="1"/>
  <c r="AC301" i="2"/>
  <c r="AC296" i="2"/>
  <c r="AC297" i="2"/>
  <c r="AC295" i="2"/>
  <c r="AC294" i="2"/>
  <c r="G286" i="2"/>
  <c r="M11" i="23" s="1"/>
  <c r="AC300" i="2"/>
  <c r="AC292" i="2"/>
  <c r="AC287" i="2"/>
  <c r="AC293" i="2"/>
  <c r="AC302" i="2"/>
  <c r="AC290" i="2"/>
  <c r="AC299" i="2"/>
  <c r="R90" i="23"/>
  <c r="R79" i="23"/>
  <c r="R85" i="23"/>
  <c r="R83" i="23"/>
  <c r="R82" i="23"/>
  <c r="R84" i="23"/>
  <c r="R86" i="23"/>
  <c r="R80" i="23"/>
  <c r="R89" i="23"/>
  <c r="R88" i="23"/>
  <c r="R81" i="23"/>
  <c r="R87" i="23"/>
  <c r="R429" i="2"/>
  <c r="R427" i="2"/>
  <c r="N6" i="5"/>
  <c r="K6" i="5"/>
  <c r="AV6" i="5" s="1"/>
  <c r="BB6" i="5" s="1"/>
  <c r="BN28" i="5" s="1"/>
  <c r="R430" i="2"/>
  <c r="U36" i="5"/>
  <c r="R428" i="2"/>
  <c r="D476" i="2"/>
  <c r="AO196" i="2"/>
  <c r="M445" i="2"/>
  <c r="BI19" i="2" s="1"/>
  <c r="P445" i="2"/>
  <c r="D444" i="2"/>
  <c r="U31" i="5"/>
  <c r="N19" i="5"/>
  <c r="K19" i="5"/>
  <c r="AV19" i="5" s="1"/>
  <c r="BB19" i="5" s="1"/>
  <c r="S445" i="2"/>
  <c r="AD447" i="2"/>
  <c r="AF447" i="2" s="1"/>
  <c r="AD448" i="2"/>
  <c r="AI448" i="2" s="1"/>
  <c r="AD445" i="2"/>
  <c r="AD446" i="2"/>
  <c r="AP446" i="2" s="1"/>
  <c r="O7" i="5"/>
  <c r="E102" i="23"/>
  <c r="AC180" i="2"/>
  <c r="AD180" i="2"/>
  <c r="W180" i="2"/>
  <c r="K115" i="23"/>
  <c r="R115" i="23"/>
  <c r="Q118" i="23"/>
  <c r="J118" i="23"/>
  <c r="AB356" i="2"/>
  <c r="AB344" i="2"/>
  <c r="Y314" i="2"/>
  <c r="AB314" i="2" s="1"/>
  <c r="Y374" i="2"/>
  <c r="T157" i="23"/>
  <c r="M157" i="23"/>
  <c r="AD79" i="2"/>
  <c r="AC83" i="2"/>
  <c r="AD83" i="2" s="1"/>
  <c r="AH83" i="2" s="1"/>
  <c r="AL550" i="2"/>
  <c r="AA429" i="2"/>
  <c r="AB435" i="2"/>
  <c r="AD435" i="2" s="1"/>
  <c r="AD67" i="2"/>
  <c r="AC71" i="2"/>
  <c r="AD71" i="2" s="1"/>
  <c r="AH71" i="2" s="1"/>
  <c r="Q126" i="23"/>
  <c r="J126" i="23"/>
  <c r="AR498" i="2"/>
  <c r="O275" i="25" s="1"/>
  <c r="E125" i="23"/>
  <c r="AB219" i="2"/>
  <c r="Z218" i="2"/>
  <c r="AA218" i="2"/>
  <c r="AC218" i="2"/>
  <c r="AD218" i="2" s="1"/>
  <c r="AI218" i="2" s="1"/>
  <c r="E69" i="20"/>
  <c r="J69" i="20" s="1"/>
  <c r="AI332" i="2"/>
  <c r="AC294" i="25"/>
  <c r="Q310" i="25"/>
  <c r="K99" i="23"/>
  <c r="R99" i="23"/>
  <c r="AR502" i="2"/>
  <c r="O279" i="25" s="1"/>
  <c r="Y179" i="2"/>
  <c r="AB175" i="2"/>
  <c r="Z206" i="2"/>
  <c r="AC206" i="2"/>
  <c r="AD206" i="2" s="1"/>
  <c r="AI206" i="2" s="1"/>
  <c r="E117" i="23"/>
  <c r="AB207" i="2"/>
  <c r="AA206" i="2"/>
  <c r="AB298" i="2"/>
  <c r="AD298" i="2" s="1"/>
  <c r="F86" i="23"/>
  <c r="Z289" i="2"/>
  <c r="Z298" i="2" s="1"/>
  <c r="W289" i="2"/>
  <c r="Y289" i="2"/>
  <c r="AC289" i="2"/>
  <c r="K335" i="25"/>
  <c r="K330" i="25"/>
  <c r="M156" i="23"/>
  <c r="T156" i="23"/>
  <c r="K123" i="23"/>
  <c r="R123" i="23"/>
  <c r="AL545" i="2"/>
  <c r="AR497" i="2"/>
  <c r="O274" i="25" s="1"/>
  <c r="AA290" i="25" s="1"/>
  <c r="AR495" i="2"/>
  <c r="AR500" i="2"/>
  <c r="O278" i="25" s="1"/>
  <c r="G67" i="23"/>
  <c r="AR494" i="2"/>
  <c r="O271" i="25" s="1"/>
  <c r="N271" i="25" s="1"/>
  <c r="Z287" i="25" s="1"/>
  <c r="AR503" i="2"/>
  <c r="O280" i="25" s="1"/>
  <c r="N280" i="25" s="1"/>
  <c r="Z296" i="25" s="1"/>
  <c r="AR499" i="2"/>
  <c r="O276" i="25" s="1"/>
  <c r="AR504" i="2"/>
  <c r="O281" i="25" s="1"/>
  <c r="AR496" i="2"/>
  <c r="O273" i="25" s="1"/>
  <c r="L270" i="25"/>
  <c r="L328" i="25"/>
  <c r="L344" i="25" s="1"/>
  <c r="L323" i="25"/>
  <c r="L339" i="25" s="1"/>
  <c r="L321" i="25"/>
  <c r="L337" i="25" s="1"/>
  <c r="L329" i="25"/>
  <c r="L345" i="25" s="1"/>
  <c r="L326" i="25"/>
  <c r="AK296" i="25"/>
  <c r="Y312" i="25"/>
  <c r="AK295" i="25"/>
  <c r="Y311" i="25"/>
  <c r="AK289" i="25"/>
  <c r="Y305" i="25"/>
  <c r="AK290" i="25"/>
  <c r="Y306" i="25"/>
  <c r="AK294" i="25"/>
  <c r="Y310" i="25"/>
  <c r="Y298" i="25"/>
  <c r="G32" i="25" s="1"/>
  <c r="AK287" i="25"/>
  <c r="Y303" i="25"/>
  <c r="Y304" i="25"/>
  <c r="AK288" i="25"/>
  <c r="AK291" i="25"/>
  <c r="Y307" i="25"/>
  <c r="X314" i="25"/>
  <c r="L327" i="25"/>
  <c r="AK292" i="25"/>
  <c r="Y308" i="25"/>
  <c r="Y313" i="25"/>
  <c r="AK297" i="25"/>
  <c r="L319" i="25"/>
  <c r="AJ298" i="25"/>
  <c r="F20" i="25" s="1"/>
  <c r="L320" i="25"/>
  <c r="L336" i="25" s="1"/>
  <c r="L324" i="25"/>
  <c r="L340" i="25" s="1"/>
  <c r="L322" i="25"/>
  <c r="R342" i="2"/>
  <c r="R341" i="2" s="1"/>
  <c r="T342" i="2"/>
  <c r="S483" i="2"/>
  <c r="R483" i="2" s="1"/>
  <c r="S482" i="2"/>
  <c r="T482" i="2" s="1"/>
  <c r="M113" i="23"/>
  <c r="T119" i="23"/>
  <c r="G466" i="2"/>
  <c r="K466" i="2"/>
  <c r="N494" i="2"/>
  <c r="P493" i="2"/>
  <c r="BW33" i="2" s="1"/>
  <c r="CD33" i="2" s="1"/>
  <c r="N523" i="2"/>
  <c r="N539" i="2"/>
  <c r="N505" i="2"/>
  <c r="N495" i="2"/>
  <c r="N525" i="2"/>
  <c r="N554" i="2"/>
  <c r="N482" i="2"/>
  <c r="N496" i="2"/>
  <c r="N555" i="2"/>
  <c r="AC467" i="2"/>
  <c r="AD467" i="2" s="1"/>
  <c r="AD466" i="2" s="1"/>
  <c r="N553" i="2"/>
  <c r="N535" i="2"/>
  <c r="N543" i="2"/>
  <c r="N557" i="2"/>
  <c r="N524" i="2"/>
  <c r="N548" i="2"/>
  <c r="N493" i="2"/>
  <c r="N556" i="2"/>
  <c r="N558" i="2"/>
  <c r="N481" i="2"/>
  <c r="P505" i="2"/>
  <c r="BW31" i="2" s="1"/>
  <c r="CD31" i="2" s="1"/>
  <c r="N483" i="2"/>
  <c r="N506" i="2"/>
  <c r="N507" i="2"/>
  <c r="N529" i="2"/>
  <c r="N484" i="2"/>
  <c r="M122" i="23"/>
  <c r="T122" i="23"/>
  <c r="AF522" i="2"/>
  <c r="AE522" i="2"/>
  <c r="AJ522" i="2"/>
  <c r="S495" i="2"/>
  <c r="T354" i="2"/>
  <c r="R354" i="2"/>
  <c r="S353" i="2"/>
  <c r="T127" i="23"/>
  <c r="M127" i="23"/>
  <c r="AD186" i="2"/>
  <c r="D68" i="20" s="1"/>
  <c r="I68" i="20" s="1"/>
  <c r="AM187" i="2"/>
  <c r="AM196" i="2" s="1"/>
  <c r="D31" i="20" s="1"/>
  <c r="I8" i="20"/>
  <c r="F10" i="21"/>
  <c r="M121" i="23"/>
  <c r="T121" i="23"/>
  <c r="Z502" i="2"/>
  <c r="S494" i="2"/>
  <c r="AR353" i="2"/>
  <c r="F173" i="23" s="1"/>
  <c r="AH494" i="2"/>
  <c r="AD500" i="2"/>
  <c r="AF500" i="2" s="1"/>
  <c r="AC502" i="2"/>
  <c r="AD502" i="2" s="1"/>
  <c r="AH502" i="2" s="1"/>
  <c r="F172" i="23"/>
  <c r="AR481" i="2"/>
  <c r="I33" i="20"/>
  <c r="D15" i="20"/>
  <c r="F17" i="21" s="1"/>
  <c r="M124" i="23"/>
  <c r="T124" i="23"/>
  <c r="R355" i="2"/>
  <c r="T355" i="2"/>
  <c r="G274" i="25" s="1"/>
  <c r="S290" i="25" s="1"/>
  <c r="T107" i="23"/>
  <c r="M107" i="23"/>
  <c r="T160" i="23"/>
  <c r="M160" i="23"/>
  <c r="M161" i="23"/>
  <c r="T161" i="23"/>
  <c r="M105" i="23"/>
  <c r="T105" i="23"/>
  <c r="F103" i="23"/>
  <c r="AA327" i="2"/>
  <c r="G104" i="23"/>
  <c r="AB467" i="2"/>
  <c r="AA468" i="2"/>
  <c r="R103" i="23"/>
  <c r="K103" i="23"/>
  <c r="J13" i="20"/>
  <c r="J68" i="20"/>
  <c r="S104" i="23"/>
  <c r="L104" i="23"/>
  <c r="L33" i="20"/>
  <c r="G15" i="20"/>
  <c r="I17" i="21" s="1"/>
  <c r="F33" i="20"/>
  <c r="P336" i="2" l="1"/>
  <c r="BU27" i="2" s="1"/>
  <c r="BU21" i="2"/>
  <c r="C29" i="20"/>
  <c r="H29" i="20" s="1"/>
  <c r="BW55" i="2"/>
  <c r="CE55" i="2" s="1"/>
  <c r="J383" i="2"/>
  <c r="E52" i="20"/>
  <c r="J52" i="20" s="1"/>
  <c r="BX66" i="2"/>
  <c r="AC228" i="2"/>
  <c r="AD228" i="2" s="1"/>
  <c r="AF228" i="2" s="1"/>
  <c r="AB226" i="2"/>
  <c r="AB366" i="2" s="1"/>
  <c r="AB506" i="2" s="1"/>
  <c r="BH19" i="2"/>
  <c r="CB90" i="2"/>
  <c r="BN18" i="2"/>
  <c r="D34" i="20"/>
  <c r="BX56" i="2"/>
  <c r="CF56" i="2" s="1"/>
  <c r="CF74" i="2" s="1"/>
  <c r="CB23" i="2"/>
  <c r="BU58" i="2"/>
  <c r="CC58" i="2" s="1"/>
  <c r="CC76" i="2" s="1"/>
  <c r="CC57" i="2"/>
  <c r="CC75" i="2" s="1"/>
  <c r="AF528" i="2"/>
  <c r="AD523" i="2"/>
  <c r="G79" i="20" s="1"/>
  <c r="CD93" i="2"/>
  <c r="CC93" i="2" s="1"/>
  <c r="BP35" i="2"/>
  <c r="BO35" i="2" s="1"/>
  <c r="CA91" i="2"/>
  <c r="BM23" i="2"/>
  <c r="AD471" i="2"/>
  <c r="E8" i="20"/>
  <c r="J26" i="20"/>
  <c r="F26" i="20"/>
  <c r="P451" i="2"/>
  <c r="BI23" i="2"/>
  <c r="P452" i="2"/>
  <c r="AF180" i="2"/>
  <c r="AK180" i="2"/>
  <c r="AK196" i="2" s="1"/>
  <c r="H18" i="5"/>
  <c r="AT18" i="5"/>
  <c r="BA18" i="5" s="1"/>
  <c r="BM29" i="5" s="1"/>
  <c r="AC303" i="2"/>
  <c r="CB89" i="2"/>
  <c r="BN6" i="2"/>
  <c r="G444" i="2"/>
  <c r="BW90" i="2"/>
  <c r="AC163" i="2"/>
  <c r="CA89" i="2"/>
  <c r="BM6" i="2"/>
  <c r="CD91" i="2"/>
  <c r="BP23" i="2"/>
  <c r="N14" i="21"/>
  <c r="P421" i="2"/>
  <c r="BU41" i="2" s="1"/>
  <c r="BU31" i="2"/>
  <c r="BH23" i="2"/>
  <c r="AP528" i="2"/>
  <c r="AP561" i="2" s="1"/>
  <c r="H43" i="5"/>
  <c r="AT43" i="5"/>
  <c r="BA43" i="5" s="1"/>
  <c r="BM34" i="5" s="1"/>
  <c r="AC449" i="2"/>
  <c r="AD449" i="2" s="1"/>
  <c r="BP19" i="2"/>
  <c r="BO19" i="2" s="1"/>
  <c r="BO7" i="2"/>
  <c r="BH67" i="2"/>
  <c r="BV33" i="2"/>
  <c r="CC33" i="2" s="1"/>
  <c r="BF23" i="2"/>
  <c r="P172" i="2"/>
  <c r="P171" i="2"/>
  <c r="G8" i="20"/>
  <c r="L26" i="20"/>
  <c r="E15" i="21"/>
  <c r="H13" i="20"/>
  <c r="E326" i="2"/>
  <c r="G74" i="5"/>
  <c r="H79" i="5" s="1"/>
  <c r="F148" i="5" s="1"/>
  <c r="F167" i="5" s="1"/>
  <c r="AD40" i="20" s="1"/>
  <c r="AD55" i="20" s="1"/>
  <c r="AI55" i="20" s="1"/>
  <c r="AC290" i="25"/>
  <c r="AC298" i="25" s="1"/>
  <c r="Q298" i="25"/>
  <c r="F278" i="25"/>
  <c r="R294" i="25" s="1"/>
  <c r="AD294" i="25" s="1"/>
  <c r="X103" i="25"/>
  <c r="L125" i="25" s="1"/>
  <c r="L147" i="25" s="1"/>
  <c r="AD314" i="2"/>
  <c r="AC458" i="2"/>
  <c r="AC457" i="2"/>
  <c r="D35" i="20"/>
  <c r="I35" i="20" s="1"/>
  <c r="X104" i="25"/>
  <c r="AJ82" i="25"/>
  <c r="AJ74" i="25"/>
  <c r="L118" i="25" s="1"/>
  <c r="L140" i="25" s="1"/>
  <c r="AJ208" i="25"/>
  <c r="X223" i="25"/>
  <c r="AD451" i="2"/>
  <c r="AP451" i="2" s="1"/>
  <c r="AD456" i="2"/>
  <c r="AF456" i="2" s="1"/>
  <c r="AD453" i="2"/>
  <c r="AI453" i="2" s="1"/>
  <c r="AD458" i="2"/>
  <c r="AH458" i="2" s="1"/>
  <c r="AD457" i="2"/>
  <c r="AD452" i="2"/>
  <c r="AH452" i="2" s="1"/>
  <c r="AC318" i="2"/>
  <c r="AC317" i="2"/>
  <c r="G102" i="23"/>
  <c r="T102" i="23" s="1"/>
  <c r="AD460" i="2"/>
  <c r="M325" i="25"/>
  <c r="M341" i="25" s="1"/>
  <c r="AC320" i="2"/>
  <c r="AD320" i="2"/>
  <c r="N277" i="25"/>
  <c r="Z293" i="25" s="1"/>
  <c r="AA293" i="25"/>
  <c r="AD316" i="2"/>
  <c r="AF316" i="2" s="1"/>
  <c r="AD311" i="2"/>
  <c r="AP311" i="2" s="1"/>
  <c r="AD313" i="2"/>
  <c r="AI313" i="2" s="1"/>
  <c r="AD318" i="2"/>
  <c r="AH318" i="2" s="1"/>
  <c r="AD317" i="2"/>
  <c r="AK317" i="2" s="1"/>
  <c r="AD312" i="2"/>
  <c r="AH312" i="2" s="1"/>
  <c r="AL476" i="2"/>
  <c r="G27" i="20" s="1"/>
  <c r="F27" i="20" s="1"/>
  <c r="K27" i="20" s="1"/>
  <c r="T426" i="2"/>
  <c r="AR291" i="2"/>
  <c r="T106" i="23"/>
  <c r="AJ77" i="25"/>
  <c r="L121" i="25" s="1"/>
  <c r="L143" i="25" s="1"/>
  <c r="G159" i="5"/>
  <c r="G170" i="5" s="1"/>
  <c r="AE43" i="20" s="1"/>
  <c r="AE58" i="20" s="1"/>
  <c r="AJ58" i="20" s="1"/>
  <c r="N421" i="2"/>
  <c r="AJ84" i="25"/>
  <c r="L128" i="25" s="1"/>
  <c r="H159" i="5"/>
  <c r="H170" i="5" s="1"/>
  <c r="AF43" i="20" s="1"/>
  <c r="AF58" i="20" s="1"/>
  <c r="AK58" i="20" s="1"/>
  <c r="J548" i="2"/>
  <c r="AJ87" i="25"/>
  <c r="L131" i="25" s="1"/>
  <c r="L153" i="25" s="1"/>
  <c r="AJ76" i="25"/>
  <c r="L120" i="25" s="1"/>
  <c r="AJ79" i="25"/>
  <c r="L123" i="25" s="1"/>
  <c r="L145" i="25" s="1"/>
  <c r="AJ85" i="25"/>
  <c r="L129" i="25" s="1"/>
  <c r="X108" i="25"/>
  <c r="L130" i="25" s="1"/>
  <c r="L152" i="25" s="1"/>
  <c r="X95" i="25"/>
  <c r="L117" i="25" s="1"/>
  <c r="L139" i="25" s="1"/>
  <c r="I75" i="5"/>
  <c r="L75" i="5" s="1"/>
  <c r="X105" i="25"/>
  <c r="L127" i="25" s="1"/>
  <c r="X100" i="25"/>
  <c r="L122" i="25" s="1"/>
  <c r="L144" i="25" s="1"/>
  <c r="L168" i="25"/>
  <c r="L171" i="25" s="1"/>
  <c r="L174" i="25" s="1"/>
  <c r="X97" i="25"/>
  <c r="L119" i="25" s="1"/>
  <c r="X80" i="25"/>
  <c r="X102" i="25" s="1"/>
  <c r="AR146" i="2"/>
  <c r="E169" i="23" s="1"/>
  <c r="AO301" i="2"/>
  <c r="J365" i="2"/>
  <c r="J525" i="2"/>
  <c r="J323" i="2"/>
  <c r="T101" i="23"/>
  <c r="T96" i="23"/>
  <c r="W320" i="2"/>
  <c r="T98" i="23"/>
  <c r="J341" i="2"/>
  <c r="AH299" i="2"/>
  <c r="J312" i="2"/>
  <c r="I76" i="5"/>
  <c r="J76" i="5" s="1"/>
  <c r="N186" i="2"/>
  <c r="J353" i="2"/>
  <c r="AR293" i="2"/>
  <c r="M54" i="25" s="1"/>
  <c r="Y76" i="25" s="1"/>
  <c r="AR294" i="2"/>
  <c r="M53" i="25" s="1"/>
  <c r="Y75" i="25" s="1"/>
  <c r="AR287" i="2"/>
  <c r="AR297" i="2"/>
  <c r="M63" i="25" s="1"/>
  <c r="Y85" i="25" s="1"/>
  <c r="M66" i="25"/>
  <c r="AR290" i="2"/>
  <c r="M59" i="25" s="1"/>
  <c r="Y81" i="25" s="1"/>
  <c r="AR302" i="2"/>
  <c r="M55" i="25" s="1"/>
  <c r="Y77" i="25" s="1"/>
  <c r="AR288" i="2"/>
  <c r="M61" i="25" s="1"/>
  <c r="Y83" i="25" s="1"/>
  <c r="AR296" i="2"/>
  <c r="M58" i="25" s="1"/>
  <c r="G67" i="25"/>
  <c r="AR298" i="2"/>
  <c r="M64" i="25" s="1"/>
  <c r="Y86" i="25" s="1"/>
  <c r="AR295" i="2"/>
  <c r="M56" i="25" s="1"/>
  <c r="Y78" i="25" s="1"/>
  <c r="F63" i="23"/>
  <c r="T290" i="2"/>
  <c r="AR289" i="2"/>
  <c r="M57" i="25" s="1"/>
  <c r="Y79" i="25" s="1"/>
  <c r="T287" i="2"/>
  <c r="AR299" i="2"/>
  <c r="M65" i="25" s="1"/>
  <c r="Y87" i="25" s="1"/>
  <c r="T288" i="2"/>
  <c r="AR300" i="2"/>
  <c r="M51" i="25" s="1"/>
  <c r="Y73" i="25" s="1"/>
  <c r="AR301" i="2"/>
  <c r="M52" i="25" s="1"/>
  <c r="Y74" i="25" s="1"/>
  <c r="AR292" i="2"/>
  <c r="M62" i="25" s="1"/>
  <c r="Y84" i="25" s="1"/>
  <c r="T289" i="2"/>
  <c r="AO290" i="2"/>
  <c r="H76" i="5"/>
  <c r="H74" i="5" s="1"/>
  <c r="F147" i="5" s="1"/>
  <c r="F166" i="5" s="1"/>
  <c r="AD39" i="20" s="1"/>
  <c r="AI39" i="20" s="1"/>
  <c r="J288" i="2"/>
  <c r="J306" i="2"/>
  <c r="AI296" i="2"/>
  <c r="J483" i="2"/>
  <c r="J539" i="2"/>
  <c r="J496" i="2"/>
  <c r="J482" i="2"/>
  <c r="J529" i="2"/>
  <c r="N170" i="2"/>
  <c r="K310" i="2"/>
  <c r="J535" i="2"/>
  <c r="J495" i="2"/>
  <c r="J543" i="2"/>
  <c r="J507" i="2"/>
  <c r="J505" i="2" s="1"/>
  <c r="G310" i="2"/>
  <c r="N164" i="2"/>
  <c r="J484" i="2"/>
  <c r="J524" i="2"/>
  <c r="J494" i="2"/>
  <c r="N191" i="2"/>
  <c r="W460" i="2"/>
  <c r="AC460" i="2"/>
  <c r="J316" i="2"/>
  <c r="J313" i="2"/>
  <c r="J293" i="2"/>
  <c r="J332" i="2"/>
  <c r="J327" i="2"/>
  <c r="J314" i="2"/>
  <c r="F102" i="23"/>
  <c r="S102" i="23" s="1"/>
  <c r="AO439" i="2"/>
  <c r="J295" i="2"/>
  <c r="J328" i="2"/>
  <c r="J296" i="2"/>
  <c r="J297" i="2"/>
  <c r="J322" i="2"/>
  <c r="J289" i="2"/>
  <c r="J286" i="2"/>
  <c r="J290" i="2"/>
  <c r="J292" i="2"/>
  <c r="J291" i="2"/>
  <c r="J315" i="2"/>
  <c r="J333" i="2"/>
  <c r="J321" i="2"/>
  <c r="J305" i="2"/>
  <c r="J329" i="2"/>
  <c r="J324" i="2"/>
  <c r="J287" i="2"/>
  <c r="J325" i="2"/>
  <c r="J294" i="2"/>
  <c r="J311" i="2"/>
  <c r="J330" i="2"/>
  <c r="J308" i="2"/>
  <c r="E310" i="2"/>
  <c r="K74" i="5"/>
  <c r="L79" i="5" s="1"/>
  <c r="N196" i="2"/>
  <c r="AB228" i="2"/>
  <c r="W228" i="2" s="1"/>
  <c r="S444" i="2"/>
  <c r="J186" i="2"/>
  <c r="F79" i="5"/>
  <c r="E148" i="5" s="1"/>
  <c r="AO430" i="2"/>
  <c r="AH39" i="20"/>
  <c r="Q314" i="25"/>
  <c r="AI436" i="2"/>
  <c r="AI196" i="2"/>
  <c r="D30" i="20" s="1"/>
  <c r="I30" i="20" s="1"/>
  <c r="AH11" i="20"/>
  <c r="AC25" i="20"/>
  <c r="AH25" i="20" s="1"/>
  <c r="J196" i="2"/>
  <c r="L6" i="5"/>
  <c r="O6" i="5"/>
  <c r="M336" i="2"/>
  <c r="BG43" i="2" s="1"/>
  <c r="BH43" i="2" s="1"/>
  <c r="M304" i="2"/>
  <c r="BG18" i="2" s="1"/>
  <c r="AB89" i="2"/>
  <c r="AC88" i="2"/>
  <c r="AD88" i="2" s="1"/>
  <c r="AF88" i="2" s="1"/>
  <c r="AC100" i="2"/>
  <c r="AD100" i="2" s="1"/>
  <c r="AB86" i="2"/>
  <c r="AC101" i="2"/>
  <c r="AD101" i="2" s="1"/>
  <c r="AL101" i="2" s="1"/>
  <c r="AL141" i="2" s="1"/>
  <c r="C45" i="20" s="1"/>
  <c r="AB100" i="2"/>
  <c r="AB88" i="2"/>
  <c r="AC86" i="2"/>
  <c r="AD86" i="2" s="1"/>
  <c r="AB94" i="2"/>
  <c r="AC87" i="2"/>
  <c r="AB92" i="2"/>
  <c r="AC94" i="2"/>
  <c r="AD94" i="2" s="1"/>
  <c r="AI94" i="2" s="1"/>
  <c r="AB101" i="2"/>
  <c r="AC95" i="2"/>
  <c r="AD95" i="2" s="1"/>
  <c r="AC91" i="2"/>
  <c r="AD91" i="2" s="1"/>
  <c r="AE91" i="2" s="1"/>
  <c r="AE141" i="2" s="1"/>
  <c r="AB99" i="2"/>
  <c r="AB239" i="2" s="1"/>
  <c r="AB87" i="2"/>
  <c r="AB90" i="2" s="1"/>
  <c r="AC93" i="2"/>
  <c r="AD93" i="2" s="1"/>
  <c r="AI93" i="2" s="1"/>
  <c r="AB91" i="2"/>
  <c r="AC99" i="2"/>
  <c r="AD99" i="2" s="1"/>
  <c r="AH99" i="2" s="1"/>
  <c r="AC92" i="2"/>
  <c r="AD92" i="2" s="1"/>
  <c r="AJ92" i="2" s="1"/>
  <c r="AJ141" i="2" s="1"/>
  <c r="AB93" i="2"/>
  <c r="AC89" i="2"/>
  <c r="AD89" i="2" s="1"/>
  <c r="AB95" i="2"/>
  <c r="G38" i="23"/>
  <c r="N38" i="23" s="1"/>
  <c r="L444" i="2"/>
  <c r="K444" i="2" s="1"/>
  <c r="P430" i="2"/>
  <c r="P428" i="2"/>
  <c r="P429" i="2"/>
  <c r="P427" i="2"/>
  <c r="AJ163" i="2"/>
  <c r="AJ196" i="2" s="1"/>
  <c r="AF163" i="2"/>
  <c r="AE163" i="2"/>
  <c r="AE196" i="2" s="1"/>
  <c r="Y303" i="2"/>
  <c r="Y382" i="2" s="1"/>
  <c r="F91" i="23"/>
  <c r="W303" i="2"/>
  <c r="X72" i="25"/>
  <c r="L167" i="25"/>
  <c r="L170" i="25" s="1"/>
  <c r="N7" i="21"/>
  <c r="N12" i="21" s="1"/>
  <c r="N13" i="21" s="1"/>
  <c r="AH13" i="20"/>
  <c r="AC27" i="20"/>
  <c r="E336" i="2"/>
  <c r="E331" i="2"/>
  <c r="AJ23" i="2"/>
  <c r="AJ56" i="2" s="1"/>
  <c r="AF23" i="2"/>
  <c r="AF56" i="2" s="1"/>
  <c r="AD6" i="2"/>
  <c r="AE23" i="2"/>
  <c r="AE56" i="2" s="1"/>
  <c r="U22" i="5"/>
  <c r="U37" i="5"/>
  <c r="N18" i="5"/>
  <c r="U26" i="5"/>
  <c r="K18" i="5"/>
  <c r="AV18" i="5" s="1"/>
  <c r="BB18" i="5" s="1"/>
  <c r="BN29" i="5" s="1"/>
  <c r="U21" i="5"/>
  <c r="E451" i="2"/>
  <c r="E427" i="2"/>
  <c r="E462" i="2"/>
  <c r="E470" i="2"/>
  <c r="U25" i="5"/>
  <c r="E461" i="2"/>
  <c r="E436" i="2"/>
  <c r="E467" i="2"/>
  <c r="E464" i="2"/>
  <c r="E446" i="2"/>
  <c r="E428" i="2"/>
  <c r="E448" i="2"/>
  <c r="E456" i="2"/>
  <c r="E450" i="2" s="1"/>
  <c r="E447" i="2"/>
  <c r="E454" i="2"/>
  <c r="E452" i="2"/>
  <c r="E465" i="2"/>
  <c r="E437" i="2"/>
  <c r="K43" i="5"/>
  <c r="AV43" i="5" s="1"/>
  <c r="BB43" i="5" s="1"/>
  <c r="BN34" i="5" s="1"/>
  <c r="E434" i="2"/>
  <c r="E431" i="2"/>
  <c r="E432" i="2"/>
  <c r="E426" i="2"/>
  <c r="E455" i="2"/>
  <c r="E430" i="2"/>
  <c r="E473" i="2"/>
  <c r="E435" i="2"/>
  <c r="E433" i="2"/>
  <c r="E453" i="2"/>
  <c r="E472" i="2"/>
  <c r="N43" i="5"/>
  <c r="E468" i="2"/>
  <c r="E466" i="2" s="1"/>
  <c r="E463" i="2"/>
  <c r="E445" i="2"/>
  <c r="U23" i="5"/>
  <c r="E469" i="2"/>
  <c r="E429" i="2"/>
  <c r="U27" i="5"/>
  <c r="U28" i="5"/>
  <c r="AH441" i="2"/>
  <c r="AH41" i="20"/>
  <c r="AH445" i="2"/>
  <c r="AD444" i="2"/>
  <c r="G67" i="20" s="1"/>
  <c r="L67" i="20" s="1"/>
  <c r="L19" i="5"/>
  <c r="O19" i="5"/>
  <c r="Q446" i="2"/>
  <c r="AP449" i="2" s="1"/>
  <c r="Q445" i="2"/>
  <c r="P444" i="2"/>
  <c r="BW22" i="2" s="1"/>
  <c r="S87" i="23"/>
  <c r="S80" i="23"/>
  <c r="S82" i="23"/>
  <c r="S81" i="23"/>
  <c r="S83" i="23"/>
  <c r="S90" i="23"/>
  <c r="S89" i="23"/>
  <c r="S88" i="23"/>
  <c r="S84" i="23"/>
  <c r="S85" i="23"/>
  <c r="S79" i="23"/>
  <c r="AP309" i="2"/>
  <c r="AF309" i="2"/>
  <c r="E304" i="2"/>
  <c r="K427" i="2"/>
  <c r="BP7" i="2" s="1"/>
  <c r="L426" i="2"/>
  <c r="K91" i="23"/>
  <c r="R91" i="23"/>
  <c r="AD304" i="2"/>
  <c r="E67" i="20" s="1"/>
  <c r="D16" i="20"/>
  <c r="I34" i="20"/>
  <c r="J191" i="2"/>
  <c r="I444" i="2"/>
  <c r="K81" i="5"/>
  <c r="F196" i="25"/>
  <c r="AR173" i="2"/>
  <c r="L189" i="25" s="1"/>
  <c r="X203" i="25" s="1"/>
  <c r="AR180" i="2"/>
  <c r="L196" i="25" s="1"/>
  <c r="AR178" i="2"/>
  <c r="L191" i="25" s="1"/>
  <c r="X205" i="25" s="1"/>
  <c r="AR174" i="2"/>
  <c r="L190" i="25" s="1"/>
  <c r="X204" i="25" s="1"/>
  <c r="AR172" i="2"/>
  <c r="L188" i="25" s="1"/>
  <c r="X202" i="25" s="1"/>
  <c r="T172" i="2"/>
  <c r="F189" i="25" s="1"/>
  <c r="R203" i="25" s="1"/>
  <c r="AR171" i="2"/>
  <c r="T310" i="2"/>
  <c r="AR317" i="2" s="1"/>
  <c r="M194" i="25" s="1"/>
  <c r="Y208" i="25" s="1"/>
  <c r="T171" i="2"/>
  <c r="AR176" i="2"/>
  <c r="L195" i="25" s="1"/>
  <c r="X209" i="25" s="1"/>
  <c r="AR175" i="2"/>
  <c r="L193" i="25" s="1"/>
  <c r="X207" i="25" s="1"/>
  <c r="AR179" i="2"/>
  <c r="L192" i="25" s="1"/>
  <c r="X206" i="25" s="1"/>
  <c r="R102" i="23"/>
  <c r="K102" i="23"/>
  <c r="M444" i="2"/>
  <c r="BI18" i="2" s="1"/>
  <c r="M476" i="2"/>
  <c r="BI43" i="2" s="1"/>
  <c r="R426" i="2"/>
  <c r="R476" i="2" s="1"/>
  <c r="AC440" i="2"/>
  <c r="AC441" i="2"/>
  <c r="AC428" i="2"/>
  <c r="AC431" i="2" s="1"/>
  <c r="AC442" i="2"/>
  <c r="AC434" i="2"/>
  <c r="AC439" i="2"/>
  <c r="AC436" i="2"/>
  <c r="AC433" i="2"/>
  <c r="AC427" i="2"/>
  <c r="AC430" i="2"/>
  <c r="AC437" i="2"/>
  <c r="G426" i="2"/>
  <c r="N11" i="23" s="1"/>
  <c r="AC432" i="2"/>
  <c r="Q91" i="23"/>
  <c r="J91" i="23"/>
  <c r="AR309" i="2"/>
  <c r="T306" i="2"/>
  <c r="AR306" i="2"/>
  <c r="T444" i="2"/>
  <c r="AR305" i="2"/>
  <c r="AR307" i="2"/>
  <c r="G80" i="5"/>
  <c r="H81" i="5"/>
  <c r="H80" i="5" s="1"/>
  <c r="AB234" i="2"/>
  <c r="AB232" i="2"/>
  <c r="AC234" i="2"/>
  <c r="AC235" i="2"/>
  <c r="AD235" i="2" s="1"/>
  <c r="AC226" i="2"/>
  <c r="AB229" i="2"/>
  <c r="E138" i="23" s="1"/>
  <c r="AC240" i="2"/>
  <c r="AD240" i="2" s="1"/>
  <c r="AB227" i="2"/>
  <c r="AB230" i="2" s="1"/>
  <c r="AB241" i="2"/>
  <c r="AC227" i="2"/>
  <c r="AC241" i="2"/>
  <c r="AB231" i="2"/>
  <c r="AC231" i="2"/>
  <c r="AB235" i="2"/>
  <c r="AB233" i="2"/>
  <c r="AC229" i="2"/>
  <c r="AD229" i="2" s="1"/>
  <c r="AC239" i="2"/>
  <c r="AC233" i="2"/>
  <c r="AB240" i="2"/>
  <c r="AC232" i="2"/>
  <c r="T305" i="2"/>
  <c r="AC28" i="20"/>
  <c r="AH28" i="20" s="1"/>
  <c r="AH14" i="20"/>
  <c r="J164" i="2"/>
  <c r="J170" i="2"/>
  <c r="I476" i="2"/>
  <c r="AA295" i="25"/>
  <c r="AM295" i="25" s="1"/>
  <c r="N279" i="25"/>
  <c r="Z295" i="25" s="1"/>
  <c r="Z311" i="25" s="1"/>
  <c r="AA291" i="25"/>
  <c r="AM291" i="25" s="1"/>
  <c r="N275" i="25"/>
  <c r="Z291" i="25" s="1"/>
  <c r="AL291" i="25" s="1"/>
  <c r="AI544" i="2"/>
  <c r="G83" i="20"/>
  <c r="AB211" i="2"/>
  <c r="Z207" i="2"/>
  <c r="Z211" i="2" s="1"/>
  <c r="E118" i="23"/>
  <c r="W207" i="2"/>
  <c r="AC207" i="2"/>
  <c r="AA207" i="2"/>
  <c r="AA211" i="2" s="1"/>
  <c r="AB179" i="2"/>
  <c r="AD179" i="2" s="1"/>
  <c r="AH179" i="2" s="1"/>
  <c r="AH196" i="2" s="1"/>
  <c r="D32" i="20" s="1"/>
  <c r="I32" i="20" s="1"/>
  <c r="AA175" i="2"/>
  <c r="AA179" i="2" s="1"/>
  <c r="Z175" i="2"/>
  <c r="Z179" i="2" s="1"/>
  <c r="W175" i="2"/>
  <c r="E100" i="23"/>
  <c r="AC175" i="2"/>
  <c r="AC179" i="2" s="1"/>
  <c r="AD175" i="2"/>
  <c r="R125" i="23"/>
  <c r="K125" i="23"/>
  <c r="AF79" i="2"/>
  <c r="AD73" i="2"/>
  <c r="C78" i="20" s="1"/>
  <c r="H78" i="20" s="1"/>
  <c r="AA356" i="2"/>
  <c r="F123" i="23"/>
  <c r="AC356" i="2"/>
  <c r="K117" i="23"/>
  <c r="R117" i="23"/>
  <c r="AF67" i="2"/>
  <c r="AD61" i="2"/>
  <c r="C77" i="20" s="1"/>
  <c r="H77" i="20" s="1"/>
  <c r="G84" i="20"/>
  <c r="AI549" i="2"/>
  <c r="F99" i="23"/>
  <c r="Z314" i="2"/>
  <c r="AA314" i="2"/>
  <c r="AC314" i="2"/>
  <c r="AI472" i="2"/>
  <c r="G69" i="20"/>
  <c r="Y368" i="2"/>
  <c r="Y315" i="2"/>
  <c r="Y298" i="2"/>
  <c r="AH298" i="2"/>
  <c r="AC298" i="2"/>
  <c r="E326" i="25"/>
  <c r="K342" i="25" s="1"/>
  <c r="Z435" i="2"/>
  <c r="G85" i="23"/>
  <c r="Y435" i="2"/>
  <c r="AC435" i="2"/>
  <c r="Y359" i="2"/>
  <c r="Y363" i="2" s="1"/>
  <c r="AB358" i="2"/>
  <c r="L86" i="23"/>
  <c r="S86" i="23"/>
  <c r="AB223" i="2"/>
  <c r="AA219" i="2"/>
  <c r="AA223" i="2" s="1"/>
  <c r="Z219" i="2"/>
  <c r="Z223" i="2" s="1"/>
  <c r="W219" i="2"/>
  <c r="AC219" i="2"/>
  <c r="E126" i="23"/>
  <c r="AB429" i="2"/>
  <c r="AD429" i="2" s="1"/>
  <c r="AA438" i="2"/>
  <c r="Y347" i="2"/>
  <c r="Y351" i="2" s="1"/>
  <c r="AB346" i="2"/>
  <c r="F115" i="23"/>
  <c r="AC344" i="2"/>
  <c r="AA344" i="2"/>
  <c r="AR493" i="2"/>
  <c r="G173" i="23" s="1"/>
  <c r="O272" i="25"/>
  <c r="AA294" i="25"/>
  <c r="AM294" i="25" s="1"/>
  <c r="N278" i="25"/>
  <c r="Z294" i="25" s="1"/>
  <c r="Z310" i="25" s="1"/>
  <c r="N274" i="25"/>
  <c r="Z290" i="25" s="1"/>
  <c r="AL290" i="25" s="1"/>
  <c r="AA287" i="25"/>
  <c r="AM287" i="25" s="1"/>
  <c r="AA296" i="25"/>
  <c r="AM296" i="25" s="1"/>
  <c r="AH56" i="20"/>
  <c r="AF31" i="21"/>
  <c r="M329" i="25"/>
  <c r="M345" i="25" s="1"/>
  <c r="M324" i="25"/>
  <c r="M340" i="25" s="1"/>
  <c r="M326" i="25"/>
  <c r="M321" i="25"/>
  <c r="M337" i="25" s="1"/>
  <c r="M320" i="25"/>
  <c r="M336" i="25" s="1"/>
  <c r="Y314" i="25"/>
  <c r="Y315" i="25" s="1"/>
  <c r="G33" i="25" s="1"/>
  <c r="AE290" i="25"/>
  <c r="S306" i="25"/>
  <c r="X315" i="25"/>
  <c r="F33" i="25" s="1"/>
  <c r="F21" i="25"/>
  <c r="AA297" i="25"/>
  <c r="N281" i="25"/>
  <c r="Z297" i="25" s="1"/>
  <c r="AL296" i="25"/>
  <c r="Z312" i="25"/>
  <c r="G278" i="25"/>
  <c r="S294" i="25" s="1"/>
  <c r="R306" i="25"/>
  <c r="AD290" i="25"/>
  <c r="AM290" i="25"/>
  <c r="AA306" i="25"/>
  <c r="M323" i="25"/>
  <c r="M339" i="25" s="1"/>
  <c r="N273" i="25"/>
  <c r="Z289" i="25" s="1"/>
  <c r="AA289" i="25"/>
  <c r="N276" i="25"/>
  <c r="Z292" i="25" s="1"/>
  <c r="AA292" i="25"/>
  <c r="AK298" i="25"/>
  <c r="G20" i="25" s="1"/>
  <c r="M319" i="25"/>
  <c r="L330" i="25"/>
  <c r="L335" i="25"/>
  <c r="M270" i="25"/>
  <c r="AL287" i="25"/>
  <c r="Z303" i="25"/>
  <c r="M322" i="25"/>
  <c r="M327" i="25"/>
  <c r="M328" i="25"/>
  <c r="M344" i="25" s="1"/>
  <c r="T483" i="2"/>
  <c r="S481" i="2"/>
  <c r="R482" i="2"/>
  <c r="R481" i="2" s="1"/>
  <c r="AM467" i="2"/>
  <c r="AM476" i="2" s="1"/>
  <c r="G31" i="20" s="1"/>
  <c r="G13" i="20" s="1"/>
  <c r="I15" i="21" s="1"/>
  <c r="P561" i="2"/>
  <c r="BW41" i="2" s="1"/>
  <c r="CD41" i="2" s="1"/>
  <c r="N561" i="2"/>
  <c r="G172" i="23"/>
  <c r="I15" i="20"/>
  <c r="R494" i="2"/>
  <c r="S493" i="2"/>
  <c r="T494" i="2"/>
  <c r="I278" i="25" s="1"/>
  <c r="R495" i="2"/>
  <c r="T495" i="2"/>
  <c r="D13" i="20"/>
  <c r="F15" i="21" s="1"/>
  <c r="I31" i="20"/>
  <c r="R353" i="2"/>
  <c r="K33" i="20"/>
  <c r="F15" i="20"/>
  <c r="H17" i="21" s="1"/>
  <c r="G103" i="23"/>
  <c r="AA467" i="2"/>
  <c r="G68" i="20"/>
  <c r="L15" i="20"/>
  <c r="T104" i="23"/>
  <c r="M104" i="23"/>
  <c r="L103" i="23"/>
  <c r="S103" i="23"/>
  <c r="AF32" i="21" l="1"/>
  <c r="CD90" i="2"/>
  <c r="BP18" i="2"/>
  <c r="CB91" i="2"/>
  <c r="CC91" i="2" s="1"/>
  <c r="BN23" i="2"/>
  <c r="BO23" i="2" s="1"/>
  <c r="AF460" i="2"/>
  <c r="AK460" i="2"/>
  <c r="G52" i="20"/>
  <c r="BX68" i="2"/>
  <c r="CF68" i="2" s="1"/>
  <c r="CB41" i="2"/>
  <c r="BV41" i="2"/>
  <c r="CC41" i="2" s="1"/>
  <c r="P450" i="2"/>
  <c r="BW23" i="2" s="1"/>
  <c r="CC90" i="2"/>
  <c r="CF66" i="2"/>
  <c r="C42" i="20"/>
  <c r="H42" i="20" s="1"/>
  <c r="BS64" i="2"/>
  <c r="CA64" i="2" s="1"/>
  <c r="BO18" i="2"/>
  <c r="CD22" i="2"/>
  <c r="BV22" i="2"/>
  <c r="CC22" i="2" s="1"/>
  <c r="C25" i="20"/>
  <c r="H25" i="20" s="1"/>
  <c r="BT55" i="2"/>
  <c r="CB55" i="2" s="1"/>
  <c r="D24" i="20"/>
  <c r="BS56" i="2"/>
  <c r="CA56" i="2" s="1"/>
  <c r="C46" i="20"/>
  <c r="H46" i="20" s="1"/>
  <c r="BV64" i="2"/>
  <c r="CD64" i="2" s="1"/>
  <c r="O14" i="21"/>
  <c r="AF320" i="2"/>
  <c r="AK320" i="2"/>
  <c r="AK336" i="2" s="1"/>
  <c r="I10" i="21"/>
  <c r="L8" i="20"/>
  <c r="N19" i="21"/>
  <c r="N20" i="21" s="1"/>
  <c r="N24" i="21" s="1"/>
  <c r="N15" i="21"/>
  <c r="G10" i="21"/>
  <c r="J8" i="20"/>
  <c r="CB21" i="2"/>
  <c r="C24" i="20"/>
  <c r="BS55" i="2"/>
  <c r="CA55" i="2" s="1"/>
  <c r="D28" i="20"/>
  <c r="I28" i="20" s="1"/>
  <c r="BV56" i="2"/>
  <c r="CD56" i="2" s="1"/>
  <c r="CB31" i="2"/>
  <c r="BV31" i="2"/>
  <c r="CC31" i="2" s="1"/>
  <c r="F8" i="20"/>
  <c r="K26" i="20"/>
  <c r="L79" i="20"/>
  <c r="F79" i="20"/>
  <c r="K79" i="20" s="1"/>
  <c r="C28" i="20"/>
  <c r="C10" i="20" s="1"/>
  <c r="BV55" i="2"/>
  <c r="CD55" i="2" s="1"/>
  <c r="CD73" i="2" s="1"/>
  <c r="BH18" i="2"/>
  <c r="P170" i="2"/>
  <c r="BW56" i="2"/>
  <c r="CE56" i="2" s="1"/>
  <c r="D29" i="20"/>
  <c r="I29" i="20" s="1"/>
  <c r="CB27" i="2"/>
  <c r="AK457" i="2"/>
  <c r="Q315" i="25"/>
  <c r="AR427" i="2"/>
  <c r="O50" i="25" s="1"/>
  <c r="O167" i="25" s="1"/>
  <c r="O170" i="25" s="1"/>
  <c r="O173" i="25" s="1"/>
  <c r="AR443" i="2"/>
  <c r="O66" i="25" s="1"/>
  <c r="N66" i="25" s="1"/>
  <c r="AR438" i="2"/>
  <c r="O64" i="25" s="1"/>
  <c r="AA86" i="25" s="1"/>
  <c r="AA108" i="25" s="1"/>
  <c r="AI40" i="20"/>
  <c r="E322" i="25"/>
  <c r="K338" i="25" s="1"/>
  <c r="F126" i="5"/>
  <c r="F138" i="5" s="1"/>
  <c r="AD12" i="20" s="1"/>
  <c r="AI12" i="20" s="1"/>
  <c r="F125" i="5"/>
  <c r="F137" i="5" s="1"/>
  <c r="AD11" i="20" s="1"/>
  <c r="AD25" i="20" s="1"/>
  <c r="AI25" i="20" s="1"/>
  <c r="T427" i="2"/>
  <c r="AR439" i="2"/>
  <c r="O65" i="25" s="1"/>
  <c r="AA87" i="25" s="1"/>
  <c r="AM87" i="25" s="1"/>
  <c r="AR442" i="2"/>
  <c r="O55" i="25" s="1"/>
  <c r="AA77" i="25" s="1"/>
  <c r="AA99" i="25" s="1"/>
  <c r="R310" i="25"/>
  <c r="F326" i="25" s="1"/>
  <c r="L342" i="25" s="1"/>
  <c r="T430" i="2"/>
  <c r="AR434" i="2"/>
  <c r="O53" i="25" s="1"/>
  <c r="AA75" i="25" s="1"/>
  <c r="AM75" i="25" s="1"/>
  <c r="AR433" i="2"/>
  <c r="O54" i="25" s="1"/>
  <c r="AA76" i="25" s="1"/>
  <c r="AM76" i="25" s="1"/>
  <c r="R298" i="25"/>
  <c r="AR437" i="2"/>
  <c r="O63" i="25" s="1"/>
  <c r="AA85" i="25" s="1"/>
  <c r="AM85" i="25" s="1"/>
  <c r="G63" i="23"/>
  <c r="T428" i="2"/>
  <c r="AR428" i="2"/>
  <c r="O61" i="25" s="1"/>
  <c r="AA83" i="25" s="1"/>
  <c r="AM83" i="25" s="1"/>
  <c r="AR436" i="2"/>
  <c r="O58" i="25" s="1"/>
  <c r="AR435" i="2"/>
  <c r="O56" i="25" s="1"/>
  <c r="AA78" i="25" s="1"/>
  <c r="AM78" i="25" s="1"/>
  <c r="AR440" i="2"/>
  <c r="O51" i="25" s="1"/>
  <c r="N51" i="25" s="1"/>
  <c r="Z73" i="25" s="1"/>
  <c r="AL73" i="25" s="1"/>
  <c r="I67" i="25"/>
  <c r="H67" i="25" s="1"/>
  <c r="AR430" i="2"/>
  <c r="O59" i="25" s="1"/>
  <c r="N59" i="25" s="1"/>
  <c r="Z81" i="25" s="1"/>
  <c r="Z103" i="25" s="1"/>
  <c r="AR432" i="2"/>
  <c r="O62" i="25" s="1"/>
  <c r="AA84" i="25" s="1"/>
  <c r="AM84" i="25" s="1"/>
  <c r="T429" i="2"/>
  <c r="AR429" i="2"/>
  <c r="O57" i="25" s="1"/>
  <c r="N57" i="25" s="1"/>
  <c r="Z79" i="25" s="1"/>
  <c r="AL79" i="25" s="1"/>
  <c r="M102" i="23"/>
  <c r="L27" i="20"/>
  <c r="L238" i="25"/>
  <c r="L253" i="25" s="1"/>
  <c r="AR441" i="2"/>
  <c r="O52" i="25" s="1"/>
  <c r="AA74" i="25" s="1"/>
  <c r="AM74" i="25" s="1"/>
  <c r="AR431" i="2"/>
  <c r="O60" i="25" s="1"/>
  <c r="AD356" i="2"/>
  <c r="AL356" i="2" s="1"/>
  <c r="Y223" i="25"/>
  <c r="AK208" i="25"/>
  <c r="AL293" i="25"/>
  <c r="Z309" i="25"/>
  <c r="AD344" i="2"/>
  <c r="AL344" i="2" s="1"/>
  <c r="AM293" i="25"/>
  <c r="AA309" i="25"/>
  <c r="L126" i="25"/>
  <c r="L148" i="25" s="1"/>
  <c r="AD226" i="2"/>
  <c r="AN226" i="2" s="1"/>
  <c r="AN281" i="2" s="1"/>
  <c r="AD241" i="2"/>
  <c r="AL241" i="2" s="1"/>
  <c r="AL281" i="2" s="1"/>
  <c r="D45" i="20" s="1"/>
  <c r="AD233" i="2"/>
  <c r="AI233" i="2" s="1"/>
  <c r="AC230" i="2"/>
  <c r="AD230" i="2" s="1"/>
  <c r="AK230" i="2" s="1"/>
  <c r="AK281" i="2" s="1"/>
  <c r="AD227" i="2"/>
  <c r="AF227" i="2" s="1"/>
  <c r="AD234" i="2"/>
  <c r="AI234" i="2" s="1"/>
  <c r="AD232" i="2"/>
  <c r="AJ232" i="2" s="1"/>
  <c r="AJ281" i="2" s="1"/>
  <c r="AD239" i="2"/>
  <c r="AH239" i="2" s="1"/>
  <c r="AD231" i="2"/>
  <c r="AE231" i="2" s="1"/>
  <c r="AE281" i="2" s="1"/>
  <c r="AJ43" i="20"/>
  <c r="J75" i="5"/>
  <c r="J74" i="5" s="1"/>
  <c r="L67" i="25"/>
  <c r="I74" i="5"/>
  <c r="G125" i="5" s="1"/>
  <c r="AK43" i="20"/>
  <c r="AD87" i="2"/>
  <c r="AF87" i="2" s="1"/>
  <c r="AC90" i="2"/>
  <c r="AD90" i="2" s="1"/>
  <c r="AK90" i="2" s="1"/>
  <c r="AK141" i="2" s="1"/>
  <c r="AJ80" i="25"/>
  <c r="L124" i="25" s="1"/>
  <c r="L146" i="25" s="1"/>
  <c r="AO336" i="2"/>
  <c r="J326" i="2"/>
  <c r="J523" i="2"/>
  <c r="J421" i="2"/>
  <c r="E471" i="2"/>
  <c r="L76" i="5"/>
  <c r="L74" i="5" s="1"/>
  <c r="J481" i="2"/>
  <c r="AK73" i="25"/>
  <c r="Y95" i="25"/>
  <c r="Y101" i="25"/>
  <c r="AK79" i="25"/>
  <c r="AK86" i="25"/>
  <c r="Y108" i="25"/>
  <c r="Y99" i="25"/>
  <c r="AK77" i="25"/>
  <c r="AK81" i="25"/>
  <c r="Y103" i="25"/>
  <c r="Y96" i="25"/>
  <c r="AK74" i="25"/>
  <c r="Y100" i="25"/>
  <c r="AK78" i="25"/>
  <c r="AK83" i="25"/>
  <c r="Y105" i="25"/>
  <c r="AK85" i="25"/>
  <c r="Y107" i="25"/>
  <c r="M50" i="25"/>
  <c r="AR286" i="2"/>
  <c r="AO476" i="2"/>
  <c r="J310" i="2"/>
  <c r="Y97" i="25"/>
  <c r="AK75" i="25"/>
  <c r="E136" i="23"/>
  <c r="R136" i="23" s="1"/>
  <c r="J331" i="2"/>
  <c r="AK84" i="25"/>
  <c r="Y106" i="25"/>
  <c r="Y109" i="25"/>
  <c r="AK87" i="25"/>
  <c r="M168" i="25"/>
  <c r="M171" i="25" s="1"/>
  <c r="M174" i="25" s="1"/>
  <c r="Y80" i="25"/>
  <c r="AK76" i="25"/>
  <c r="Y98" i="25"/>
  <c r="J493" i="2"/>
  <c r="L102" i="23"/>
  <c r="J304" i="2"/>
  <c r="J336" i="2"/>
  <c r="H125" i="5"/>
  <c r="H137" i="5" s="1"/>
  <c r="AF11" i="20" s="1"/>
  <c r="AP336" i="2"/>
  <c r="E126" i="5"/>
  <c r="E141" i="5" s="1"/>
  <c r="AP476" i="2"/>
  <c r="Z228" i="2"/>
  <c r="Z237" i="2" s="1"/>
  <c r="AA307" i="25"/>
  <c r="O323" i="25" s="1"/>
  <c r="O339" i="25" s="1"/>
  <c r="AA228" i="2"/>
  <c r="AA237" i="2" s="1"/>
  <c r="AB237" i="2"/>
  <c r="AC237" i="2" s="1"/>
  <c r="AA310" i="25"/>
  <c r="O326" i="25" s="1"/>
  <c r="E444" i="2"/>
  <c r="AD54" i="20"/>
  <c r="AI54" i="20" s="1"/>
  <c r="AD286" i="2"/>
  <c r="E65" i="20" s="1"/>
  <c r="AA303" i="25"/>
  <c r="O319" i="25" s="1"/>
  <c r="AL294" i="25"/>
  <c r="N326" i="25" s="1"/>
  <c r="Z307" i="25"/>
  <c r="N323" i="25" s="1"/>
  <c r="N339" i="25" s="1"/>
  <c r="T84" i="23"/>
  <c r="T79" i="23"/>
  <c r="T90" i="23"/>
  <c r="T87" i="23"/>
  <c r="T80" i="23"/>
  <c r="T81" i="23"/>
  <c r="T82" i="23"/>
  <c r="T88" i="23"/>
  <c r="T89" i="23"/>
  <c r="T83" i="23"/>
  <c r="AJ202" i="25"/>
  <c r="X217" i="25"/>
  <c r="L173" i="25"/>
  <c r="F17" i="25" s="1"/>
  <c r="AC10" i="20" s="1"/>
  <c r="F38" i="25"/>
  <c r="AC379" i="2"/>
  <c r="AC375" i="2"/>
  <c r="AD375" i="2" s="1"/>
  <c r="AC373" i="2"/>
  <c r="AB375" i="2"/>
  <c r="AC372" i="2"/>
  <c r="AB371" i="2"/>
  <c r="AB369" i="2"/>
  <c r="AC366" i="2"/>
  <c r="AC380" i="2"/>
  <c r="AD380" i="2" s="1"/>
  <c r="AC369" i="2"/>
  <c r="AD369" i="2" s="1"/>
  <c r="AB373" i="2"/>
  <c r="AB380" i="2"/>
  <c r="AB379" i="2"/>
  <c r="AC367" i="2"/>
  <c r="AC371" i="2"/>
  <c r="AC381" i="2"/>
  <c r="AB372" i="2"/>
  <c r="AB367" i="2"/>
  <c r="AB370" i="2" s="1"/>
  <c r="AB381" i="2"/>
  <c r="AA100" i="2"/>
  <c r="D131" i="23"/>
  <c r="N314" i="2"/>
  <c r="N308" i="2"/>
  <c r="N291" i="2"/>
  <c r="N332" i="2"/>
  <c r="N286" i="2"/>
  <c r="N288" i="2"/>
  <c r="N329" i="2"/>
  <c r="N328" i="2"/>
  <c r="N312" i="2"/>
  <c r="N296" i="2"/>
  <c r="N290" i="2"/>
  <c r="N306" i="2"/>
  <c r="N315" i="2"/>
  <c r="N305" i="2"/>
  <c r="N323" i="2"/>
  <c r="N322" i="2"/>
  <c r="N316" i="2"/>
  <c r="N292" i="2"/>
  <c r="N311" i="2"/>
  <c r="N307" i="2"/>
  <c r="N295" i="2"/>
  <c r="N289" i="2"/>
  <c r="N333" i="2"/>
  <c r="N297" i="2"/>
  <c r="N325" i="2"/>
  <c r="N327" i="2"/>
  <c r="N324" i="2"/>
  <c r="N293" i="2"/>
  <c r="N294" i="2"/>
  <c r="N313" i="2"/>
  <c r="N287" i="2"/>
  <c r="N321" i="2"/>
  <c r="N330" i="2"/>
  <c r="F64" i="23"/>
  <c r="AR308" i="2"/>
  <c r="AR304" i="2" s="1"/>
  <c r="F170" i="23" s="1"/>
  <c r="E134" i="23"/>
  <c r="AA241" i="2"/>
  <c r="AB238" i="2"/>
  <c r="AC238" i="2" s="1"/>
  <c r="AD238" i="2" s="1"/>
  <c r="AA229" i="2"/>
  <c r="Z229" i="2"/>
  <c r="Z238" i="2" s="1"/>
  <c r="W229" i="2"/>
  <c r="AA232" i="2"/>
  <c r="Z232" i="2"/>
  <c r="E133" i="23"/>
  <c r="F129" i="5"/>
  <c r="F151" i="5"/>
  <c r="H83" i="5"/>
  <c r="F130" i="5" s="1"/>
  <c r="F140" i="5" s="1"/>
  <c r="AD14" i="20" s="1"/>
  <c r="N468" i="2"/>
  <c r="N430" i="2"/>
  <c r="N433" i="2"/>
  <c r="N462" i="2"/>
  <c r="N455" i="2"/>
  <c r="N469" i="2"/>
  <c r="N428" i="2"/>
  <c r="N453" i="2"/>
  <c r="N465" i="2"/>
  <c r="N451" i="2"/>
  <c r="N431" i="2"/>
  <c r="N426" i="2"/>
  <c r="N463" i="2"/>
  <c r="N454" i="2"/>
  <c r="N470" i="2"/>
  <c r="N434" i="2"/>
  <c r="N464" i="2"/>
  <c r="N456" i="2"/>
  <c r="N450" i="2" s="1"/>
  <c r="N461" i="2"/>
  <c r="N446" i="2"/>
  <c r="N429" i="2"/>
  <c r="N445" i="2"/>
  <c r="N473" i="2"/>
  <c r="N427" i="2"/>
  <c r="N432" i="2"/>
  <c r="N467" i="2"/>
  <c r="N472" i="2"/>
  <c r="N448" i="2"/>
  <c r="N447" i="2"/>
  <c r="N452" i="2"/>
  <c r="N437" i="2"/>
  <c r="N436" i="2"/>
  <c r="N435" i="2"/>
  <c r="X221" i="25"/>
  <c r="AJ206" i="25"/>
  <c r="G196" i="25"/>
  <c r="T311" i="2"/>
  <c r="AR316" i="2"/>
  <c r="M195" i="25" s="1"/>
  <c r="Y209" i="25" s="1"/>
  <c r="AR315" i="2"/>
  <c r="M193" i="25" s="1"/>
  <c r="Y207" i="25" s="1"/>
  <c r="AR319" i="2"/>
  <c r="M192" i="25" s="1"/>
  <c r="Y206" i="25" s="1"/>
  <c r="AR313" i="2"/>
  <c r="M189" i="25" s="1"/>
  <c r="Y203" i="25" s="1"/>
  <c r="AR320" i="2"/>
  <c r="M196" i="25" s="1"/>
  <c r="AR312" i="2"/>
  <c r="M188" i="25" s="1"/>
  <c r="Y202" i="25" s="1"/>
  <c r="T312" i="2"/>
  <c r="G189" i="25" s="1"/>
  <c r="S203" i="25" s="1"/>
  <c r="AR314" i="2"/>
  <c r="M190" i="25" s="1"/>
  <c r="Y204" i="25" s="1"/>
  <c r="AR311" i="2"/>
  <c r="AR318" i="2"/>
  <c r="M191" i="25" s="1"/>
  <c r="Y205" i="25" s="1"/>
  <c r="T450" i="2"/>
  <c r="AR457" i="2" s="1"/>
  <c r="O194" i="25" s="1"/>
  <c r="AJ204" i="25"/>
  <c r="X219" i="25"/>
  <c r="J67" i="20"/>
  <c r="F67" i="20"/>
  <c r="K67" i="20" s="1"/>
  <c r="AB443" i="2"/>
  <c r="AD443" i="2" s="1"/>
  <c r="AK443" i="2" s="1"/>
  <c r="K426" i="2"/>
  <c r="G36" i="23"/>
  <c r="N36" i="23" s="1"/>
  <c r="AF449" i="2"/>
  <c r="Q444" i="2"/>
  <c r="O43" i="5"/>
  <c r="L43" i="5"/>
  <c r="L18" i="5"/>
  <c r="O18" i="5"/>
  <c r="AH27" i="20"/>
  <c r="AF17" i="21"/>
  <c r="AF18" i="21" s="1"/>
  <c r="AJ72" i="25"/>
  <c r="X94" i="25"/>
  <c r="AE303" i="2"/>
  <c r="AE336" i="2" s="1"/>
  <c r="AJ303" i="2"/>
  <c r="AJ336" i="2" s="1"/>
  <c r="AF303" i="2"/>
  <c r="Z87" i="2"/>
  <c r="Z90" i="2" s="1"/>
  <c r="D139" i="23"/>
  <c r="AB96" i="2"/>
  <c r="AC96" i="2" s="1"/>
  <c r="AD96" i="2" s="1"/>
  <c r="AH96" i="2" s="1"/>
  <c r="W87" i="2"/>
  <c r="AA87" i="2"/>
  <c r="D134" i="23"/>
  <c r="AA101" i="2"/>
  <c r="Z94" i="2"/>
  <c r="AA94" i="2"/>
  <c r="D135" i="23"/>
  <c r="H45" i="20"/>
  <c r="C9" i="20"/>
  <c r="AA89" i="2"/>
  <c r="AA98" i="2" s="1"/>
  <c r="W89" i="2"/>
  <c r="D138" i="23"/>
  <c r="AB98" i="2"/>
  <c r="AC98" i="2" s="1"/>
  <c r="AD98" i="2" s="1"/>
  <c r="Z89" i="2"/>
  <c r="Z98" i="2" s="1"/>
  <c r="AA235" i="2"/>
  <c r="E137" i="23"/>
  <c r="Z235" i="2"/>
  <c r="AH240" i="2"/>
  <c r="AO240" i="2"/>
  <c r="T446" i="2"/>
  <c r="AR447" i="2"/>
  <c r="AR449" i="2"/>
  <c r="AR446" i="2"/>
  <c r="AR445" i="2"/>
  <c r="X218" i="25"/>
  <c r="AJ203" i="25"/>
  <c r="AC374" i="2"/>
  <c r="AF229" i="2"/>
  <c r="AO229" i="2"/>
  <c r="Z231" i="2"/>
  <c r="W231" i="2"/>
  <c r="AA231" i="2"/>
  <c r="E140" i="23"/>
  <c r="AA227" i="2"/>
  <c r="E139" i="23"/>
  <c r="W227" i="2"/>
  <c r="Z227" i="2"/>
  <c r="Z230" i="2" s="1"/>
  <c r="AB236" i="2"/>
  <c r="AC236" i="2" s="1"/>
  <c r="AD236" i="2" s="1"/>
  <c r="E135" i="23"/>
  <c r="AA234" i="2"/>
  <c r="Z234" i="2"/>
  <c r="X222" i="25"/>
  <c r="AJ207" i="25"/>
  <c r="L187" i="25"/>
  <c r="X201" i="25" s="1"/>
  <c r="AR170" i="2"/>
  <c r="AJ205" i="25"/>
  <c r="X220" i="25"/>
  <c r="I81" i="5"/>
  <c r="K80" i="5"/>
  <c r="I16" i="20"/>
  <c r="F18" i="21"/>
  <c r="T445" i="2"/>
  <c r="E476" i="2"/>
  <c r="C6" i="20"/>
  <c r="H24" i="20"/>
  <c r="I24" i="20"/>
  <c r="E171" i="5"/>
  <c r="E167" i="5"/>
  <c r="AC40" i="20" s="1"/>
  <c r="AC55" i="20" s="1"/>
  <c r="Z95" i="2"/>
  <c r="AA95" i="2"/>
  <c r="D137" i="23"/>
  <c r="AA99" i="2"/>
  <c r="D130" i="23"/>
  <c r="AN86" i="2"/>
  <c r="AN141" i="2" s="1"/>
  <c r="AA86" i="2"/>
  <c r="D129" i="23"/>
  <c r="J468" i="2"/>
  <c r="J473" i="2"/>
  <c r="J469" i="2"/>
  <c r="J431" i="2"/>
  <c r="J453" i="2"/>
  <c r="J433" i="2"/>
  <c r="J454" i="2"/>
  <c r="J465" i="2"/>
  <c r="J472" i="2"/>
  <c r="J428" i="2"/>
  <c r="J446" i="2"/>
  <c r="J463" i="2"/>
  <c r="J470" i="2"/>
  <c r="J455" i="2"/>
  <c r="J430" i="2"/>
  <c r="J456" i="2"/>
  <c r="J452" i="2"/>
  <c r="J429" i="2"/>
  <c r="J432" i="2"/>
  <c r="J464" i="2"/>
  <c r="J435" i="2"/>
  <c r="J467" i="2"/>
  <c r="J448" i="2"/>
  <c r="J427" i="2"/>
  <c r="J445" i="2"/>
  <c r="J447" i="2"/>
  <c r="J461" i="2"/>
  <c r="J426" i="2"/>
  <c r="J436" i="2"/>
  <c r="J437" i="2"/>
  <c r="J451" i="2"/>
  <c r="J434" i="2"/>
  <c r="J462" i="2"/>
  <c r="F192" i="25"/>
  <c r="R209" i="25" s="1"/>
  <c r="R211" i="25" s="1"/>
  <c r="E65" i="23"/>
  <c r="Z93" i="2"/>
  <c r="D132" i="23"/>
  <c r="AA93" i="2"/>
  <c r="AI95" i="2"/>
  <c r="AI141" i="2" s="1"/>
  <c r="C48" i="20" s="1"/>
  <c r="AO95" i="2"/>
  <c r="E131" i="23"/>
  <c r="AA240" i="2"/>
  <c r="Z233" i="2"/>
  <c r="AA233" i="2"/>
  <c r="E132" i="23"/>
  <c r="AA239" i="2"/>
  <c r="E130" i="23"/>
  <c r="AI235" i="2"/>
  <c r="AO235" i="2"/>
  <c r="E129" i="23"/>
  <c r="AA226" i="2"/>
  <c r="AJ209" i="25"/>
  <c r="X224" i="25"/>
  <c r="AD203" i="25"/>
  <c r="R218" i="25"/>
  <c r="AB374" i="2"/>
  <c r="AD56" i="2"/>
  <c r="C70" i="20" s="1"/>
  <c r="C65" i="20"/>
  <c r="N8" i="21"/>
  <c r="L91" i="23"/>
  <c r="S91" i="23"/>
  <c r="P426" i="2"/>
  <c r="AF89" i="2"/>
  <c r="AO89" i="2"/>
  <c r="W91" i="2"/>
  <c r="Z91" i="2"/>
  <c r="AA91" i="2"/>
  <c r="D140" i="23"/>
  <c r="D133" i="23"/>
  <c r="Z92" i="2"/>
  <c r="AA92" i="2"/>
  <c r="AA88" i="2"/>
  <c r="AA97" i="2" s="1"/>
  <c r="D136" i="23"/>
  <c r="AB97" i="2"/>
  <c r="AC97" i="2" s="1"/>
  <c r="AD97" i="2" s="1"/>
  <c r="AH97" i="2" s="1"/>
  <c r="W88" i="2"/>
  <c r="Z88" i="2"/>
  <c r="Z97" i="2" s="1"/>
  <c r="AO100" i="2"/>
  <c r="AH100" i="2"/>
  <c r="AB438" i="2"/>
  <c r="AD438" i="2" s="1"/>
  <c r="G86" i="23"/>
  <c r="W429" i="2"/>
  <c r="Z429" i="2"/>
  <c r="Z438" i="2" s="1"/>
  <c r="Y429" i="2"/>
  <c r="AC429" i="2"/>
  <c r="AF429" i="2"/>
  <c r="Y319" i="2"/>
  <c r="AB315" i="2"/>
  <c r="AD315" i="2" s="1"/>
  <c r="L84" i="20"/>
  <c r="F84" i="20"/>
  <c r="K84" i="20" s="1"/>
  <c r="L123" i="23"/>
  <c r="S123" i="23"/>
  <c r="K100" i="23"/>
  <c r="R100" i="23"/>
  <c r="K118" i="23"/>
  <c r="R118" i="23"/>
  <c r="AA346" i="2"/>
  <c r="AC346" i="2"/>
  <c r="AD346" i="2" s="1"/>
  <c r="AB347" i="2"/>
  <c r="Z346" i="2"/>
  <c r="F117" i="23"/>
  <c r="K126" i="23"/>
  <c r="R126" i="23"/>
  <c r="Z358" i="2"/>
  <c r="AA358" i="2"/>
  <c r="AC358" i="2"/>
  <c r="AD358" i="2" s="1"/>
  <c r="AB359" i="2"/>
  <c r="F125" i="23"/>
  <c r="Y454" i="2"/>
  <c r="AB454" i="2" s="1"/>
  <c r="AD454" i="2" s="1"/>
  <c r="Y514" i="2"/>
  <c r="AB484" i="2"/>
  <c r="AB496" i="2"/>
  <c r="Y377" i="2"/>
  <c r="AB368" i="2"/>
  <c r="AC368" i="2"/>
  <c r="AA311" i="25"/>
  <c r="O327" i="25" s="1"/>
  <c r="AL295" i="25"/>
  <c r="N327" i="25" s="1"/>
  <c r="AC223" i="2"/>
  <c r="AD223" i="2" s="1"/>
  <c r="AH223" i="2" s="1"/>
  <c r="AD219" i="2"/>
  <c r="M85" i="23"/>
  <c r="T85" i="23"/>
  <c r="L69" i="20"/>
  <c r="F69" i="20"/>
  <c r="K69" i="20" s="1"/>
  <c r="AI314" i="2"/>
  <c r="AI336" i="2" s="1"/>
  <c r="E30" i="20" s="1"/>
  <c r="L99" i="23"/>
  <c r="S99" i="23"/>
  <c r="AF175" i="2"/>
  <c r="AF196" i="2" s="1"/>
  <c r="AD170" i="2"/>
  <c r="AD207" i="2"/>
  <c r="AC211" i="2"/>
  <c r="AD211" i="2" s="1"/>
  <c r="AH211" i="2" s="1"/>
  <c r="S115" i="23"/>
  <c r="L115" i="23"/>
  <c r="AI435" i="2"/>
  <c r="L83" i="20"/>
  <c r="F83" i="20"/>
  <c r="K83" i="20" s="1"/>
  <c r="N272" i="25"/>
  <c r="Z288" i="25" s="1"/>
  <c r="Z298" i="25" s="1"/>
  <c r="AA288" i="25"/>
  <c r="AA298" i="25" s="1"/>
  <c r="H32" i="25" s="1"/>
  <c r="O270" i="25"/>
  <c r="N270" i="25" s="1"/>
  <c r="AA312" i="25"/>
  <c r="O328" i="25" s="1"/>
  <c r="O344" i="25" s="1"/>
  <c r="Z306" i="25"/>
  <c r="N322" i="25" s="1"/>
  <c r="G21" i="25"/>
  <c r="N328" i="25"/>
  <c r="N344" i="25" s="1"/>
  <c r="U294" i="25"/>
  <c r="H278" i="25"/>
  <c r="T294" i="25" s="1"/>
  <c r="AL289" i="25"/>
  <c r="Z305" i="25"/>
  <c r="O322" i="25"/>
  <c r="Z313" i="25"/>
  <c r="AL297" i="25"/>
  <c r="I274" i="25"/>
  <c r="M330" i="25"/>
  <c r="M335" i="25"/>
  <c r="AM289" i="25"/>
  <c r="AA305" i="25"/>
  <c r="S310" i="25"/>
  <c r="S314" i="25" s="1"/>
  <c r="AE294" i="25"/>
  <c r="AE298" i="25" s="1"/>
  <c r="S298" i="25"/>
  <c r="AM292" i="25"/>
  <c r="AA308" i="25"/>
  <c r="AD298" i="25"/>
  <c r="F322" i="25"/>
  <c r="L338" i="25" s="1"/>
  <c r="N319" i="25"/>
  <c r="AL292" i="25"/>
  <c r="Z308" i="25"/>
  <c r="AA313" i="25"/>
  <c r="AM297" i="25"/>
  <c r="G322" i="25"/>
  <c r="M343" i="25" s="1"/>
  <c r="F31" i="20"/>
  <c r="L31" i="20"/>
  <c r="I13" i="20"/>
  <c r="H148" i="5"/>
  <c r="H167" i="5" s="1"/>
  <c r="AF40" i="20" s="1"/>
  <c r="H126" i="5"/>
  <c r="H138" i="5" s="1"/>
  <c r="AF12" i="20" s="1"/>
  <c r="R493" i="2"/>
  <c r="K15" i="20"/>
  <c r="L13" i="20"/>
  <c r="L68" i="20"/>
  <c r="F68" i="20"/>
  <c r="T103" i="23"/>
  <c r="M103" i="23"/>
  <c r="BW57" i="2" l="1"/>
  <c r="E29" i="20"/>
  <c r="J29" i="20" s="1"/>
  <c r="C47" i="20"/>
  <c r="BW64" i="2"/>
  <c r="CE64" i="2" s="1"/>
  <c r="CE73" i="2" s="1"/>
  <c r="N22" i="21"/>
  <c r="C36" i="20"/>
  <c r="H36" i="20" s="1"/>
  <c r="E24" i="20"/>
  <c r="BS57" i="2"/>
  <c r="D46" i="20"/>
  <c r="I46" i="20" s="1"/>
  <c r="BV65" i="2"/>
  <c r="CD65" i="2" s="1"/>
  <c r="BT23" i="2"/>
  <c r="CA23" i="2" s="1"/>
  <c r="P196" i="2"/>
  <c r="BT27" i="2" s="1"/>
  <c r="CA27" i="2" s="1"/>
  <c r="CA73" i="2"/>
  <c r="CD23" i="2"/>
  <c r="BV23" i="2"/>
  <c r="CC23" i="2" s="1"/>
  <c r="L52" i="20"/>
  <c r="F52" i="20"/>
  <c r="K52" i="20" s="1"/>
  <c r="D25" i="20"/>
  <c r="BT56" i="2"/>
  <c r="CB56" i="2" s="1"/>
  <c r="P476" i="2"/>
  <c r="BW27" i="2" s="1"/>
  <c r="BW21" i="2"/>
  <c r="H28" i="20"/>
  <c r="G34" i="20"/>
  <c r="L34" i="20" s="1"/>
  <c r="BX59" i="2"/>
  <c r="CF59" i="2" s="1"/>
  <c r="CF77" i="2" s="1"/>
  <c r="AA80" i="25"/>
  <c r="AA102" i="25" s="1"/>
  <c r="Q14" i="21"/>
  <c r="O19" i="21"/>
  <c r="O20" i="21" s="1"/>
  <c r="O24" i="21" s="1"/>
  <c r="O15" i="21"/>
  <c r="E28" i="20"/>
  <c r="BV57" i="2"/>
  <c r="E34" i="20"/>
  <c r="E16" i="20" s="1"/>
  <c r="G18" i="21" s="1"/>
  <c r="BX57" i="2"/>
  <c r="D47" i="20"/>
  <c r="BW65" i="2"/>
  <c r="CE65" i="2" s="1"/>
  <c r="K8" i="20"/>
  <c r="H10" i="21"/>
  <c r="AC443" i="2"/>
  <c r="CD89" i="2"/>
  <c r="CC89" i="2" s="1"/>
  <c r="BP6" i="2"/>
  <c r="BO6" i="2" s="1"/>
  <c r="D42" i="20"/>
  <c r="I42" i="20" s="1"/>
  <c r="BS65" i="2"/>
  <c r="CA65" i="2" s="1"/>
  <c r="CA74" i="2" s="1"/>
  <c r="AK476" i="2"/>
  <c r="CE74" i="2"/>
  <c r="CD74" i="2"/>
  <c r="BX67" i="2"/>
  <c r="CF67" i="2" s="1"/>
  <c r="Q7" i="21"/>
  <c r="Q12" i="21" s="1"/>
  <c r="Q13" i="21" s="1"/>
  <c r="AA72" i="25"/>
  <c r="AA94" i="25" s="1"/>
  <c r="N64" i="25"/>
  <c r="Z86" i="25" s="1"/>
  <c r="AL86" i="25" s="1"/>
  <c r="AA109" i="25"/>
  <c r="O131" i="25" s="1"/>
  <c r="O153" i="25" s="1"/>
  <c r="E330" i="25"/>
  <c r="N54" i="25"/>
  <c r="Z76" i="25" s="1"/>
  <c r="AL76" i="25" s="1"/>
  <c r="N52" i="25"/>
  <c r="Z74" i="25" s="1"/>
  <c r="Z96" i="25" s="1"/>
  <c r="AD26" i="20"/>
  <c r="AI26" i="20" s="1"/>
  <c r="AA96" i="25"/>
  <c r="O118" i="25" s="1"/>
  <c r="O140" i="25" s="1"/>
  <c r="AI11" i="20"/>
  <c r="G147" i="5"/>
  <c r="G166" i="5" s="1"/>
  <c r="AE39" i="20" s="1"/>
  <c r="AE54" i="20" s="1"/>
  <c r="AJ54" i="20" s="1"/>
  <c r="AA98" i="25"/>
  <c r="O120" i="25" s="1"/>
  <c r="N55" i="25"/>
  <c r="Z77" i="25" s="1"/>
  <c r="AL77" i="25" s="1"/>
  <c r="K343" i="25"/>
  <c r="K346" i="25" s="1"/>
  <c r="N65" i="25"/>
  <c r="Z87" i="25" s="1"/>
  <c r="AL87" i="25" s="1"/>
  <c r="N62" i="25"/>
  <c r="Z84" i="25" s="1"/>
  <c r="Z106" i="25" s="1"/>
  <c r="N58" i="25"/>
  <c r="R314" i="25"/>
  <c r="R315" i="25" s="1"/>
  <c r="AA105" i="25"/>
  <c r="O127" i="25" s="1"/>
  <c r="N63" i="25"/>
  <c r="Z85" i="25" s="1"/>
  <c r="Z107" i="25" s="1"/>
  <c r="N61" i="25"/>
  <c r="Z83" i="25" s="1"/>
  <c r="AL83" i="25" s="1"/>
  <c r="AA107" i="25"/>
  <c r="O129" i="25" s="1"/>
  <c r="AM80" i="25"/>
  <c r="O124" i="25" s="1"/>
  <c r="O146" i="25" s="1"/>
  <c r="AA97" i="25"/>
  <c r="O119" i="25" s="1"/>
  <c r="N53" i="25"/>
  <c r="Z75" i="25" s="1"/>
  <c r="Z97" i="25" s="1"/>
  <c r="AA81" i="25"/>
  <c r="AM81" i="25" s="1"/>
  <c r="AA79" i="25"/>
  <c r="AA101" i="25" s="1"/>
  <c r="AA106" i="25"/>
  <c r="O128" i="25" s="1"/>
  <c r="AA73" i="25"/>
  <c r="AA95" i="25" s="1"/>
  <c r="N56" i="25"/>
  <c r="Z78" i="25" s="1"/>
  <c r="Z100" i="25" s="1"/>
  <c r="N194" i="25"/>
  <c r="Z208" i="25" s="1"/>
  <c r="AA208" i="25"/>
  <c r="M238" i="25"/>
  <c r="M253" i="25" s="1"/>
  <c r="N60" i="25"/>
  <c r="Z82" i="25" s="1"/>
  <c r="AA82" i="25"/>
  <c r="E35" i="20"/>
  <c r="AR426" i="2"/>
  <c r="G169" i="23" s="1"/>
  <c r="O168" i="25"/>
  <c r="O171" i="25" s="1"/>
  <c r="O174" i="25" s="1"/>
  <c r="G35" i="20"/>
  <c r="L35" i="20" s="1"/>
  <c r="O325" i="25"/>
  <c r="O341" i="25" s="1"/>
  <c r="N325" i="25"/>
  <c r="N341" i="25" s="1"/>
  <c r="D6" i="20"/>
  <c r="I6" i="20" s="1"/>
  <c r="I45" i="20"/>
  <c r="D9" i="20"/>
  <c r="I9" i="20" s="1"/>
  <c r="AA236" i="2"/>
  <c r="AA230" i="2"/>
  <c r="AD368" i="2"/>
  <c r="AF368" i="2" s="1"/>
  <c r="AD367" i="2"/>
  <c r="AF367" i="2" s="1"/>
  <c r="AC370" i="2"/>
  <c r="AD370" i="2" s="1"/>
  <c r="AI281" i="2"/>
  <c r="D48" i="20" s="1"/>
  <c r="I48" i="20" s="1"/>
  <c r="D10" i="20"/>
  <c r="F12" i="21" s="1"/>
  <c r="AD372" i="2"/>
  <c r="AJ372" i="2" s="1"/>
  <c r="AJ421" i="2" s="1"/>
  <c r="M9" i="21"/>
  <c r="M10" i="21" s="1"/>
  <c r="M11" i="21" s="1"/>
  <c r="AD371" i="2"/>
  <c r="AE371" i="2" s="1"/>
  <c r="AE421" i="2" s="1"/>
  <c r="AD373" i="2"/>
  <c r="AI373" i="2" s="1"/>
  <c r="AD237" i="2"/>
  <c r="AH237" i="2" s="1"/>
  <c r="AD374" i="2"/>
  <c r="AI374" i="2" s="1"/>
  <c r="AD381" i="2"/>
  <c r="AL381" i="2" s="1"/>
  <c r="AL421" i="2" s="1"/>
  <c r="E45" i="20" s="1"/>
  <c r="AD366" i="2"/>
  <c r="AN366" i="2" s="1"/>
  <c r="AN421" i="2" s="1"/>
  <c r="AD379" i="2"/>
  <c r="AH379" i="2" s="1"/>
  <c r="D11" i="20"/>
  <c r="F13" i="21" s="1"/>
  <c r="N9" i="21"/>
  <c r="N10" i="21" s="1"/>
  <c r="N11" i="21" s="1"/>
  <c r="J79" i="5"/>
  <c r="G126" i="5" s="1"/>
  <c r="G138" i="5" s="1"/>
  <c r="AE12" i="20" s="1"/>
  <c r="AF141" i="2"/>
  <c r="AA96" i="2"/>
  <c r="AA90" i="2"/>
  <c r="Z95" i="25"/>
  <c r="N117" i="25" s="1"/>
  <c r="N139" i="25" s="1"/>
  <c r="K136" i="23"/>
  <c r="Z101" i="25"/>
  <c r="N123" i="25" s="1"/>
  <c r="N145" i="25" s="1"/>
  <c r="J561" i="2"/>
  <c r="M122" i="25"/>
  <c r="M144" i="25" s="1"/>
  <c r="M127" i="25"/>
  <c r="H147" i="5"/>
  <c r="H166" i="5" s="1"/>
  <c r="AL81" i="25"/>
  <c r="N125" i="25" s="1"/>
  <c r="N147" i="25" s="1"/>
  <c r="Y72" i="25"/>
  <c r="M167" i="25"/>
  <c r="M170" i="25" s="1"/>
  <c r="O7" i="21"/>
  <c r="O12" i="21" s="1"/>
  <c r="O13" i="21" s="1"/>
  <c r="M125" i="25"/>
  <c r="M147" i="25" s="1"/>
  <c r="M120" i="25"/>
  <c r="M131" i="25"/>
  <c r="M153" i="25" s="1"/>
  <c r="M119" i="25"/>
  <c r="M67" i="25"/>
  <c r="F169" i="23"/>
  <c r="M118" i="25"/>
  <c r="M140" i="25" s="1"/>
  <c r="M121" i="25"/>
  <c r="M143" i="25" s="1"/>
  <c r="M123" i="25"/>
  <c r="M145" i="25" s="1"/>
  <c r="AK80" i="25"/>
  <c r="Y102" i="25"/>
  <c r="N50" i="25"/>
  <c r="N167" i="25" s="1"/>
  <c r="N170" i="25" s="1"/>
  <c r="N173" i="25" s="1"/>
  <c r="M128" i="25"/>
  <c r="M129" i="25"/>
  <c r="M130" i="25"/>
  <c r="M152" i="25" s="1"/>
  <c r="M117" i="25"/>
  <c r="M139" i="25" s="1"/>
  <c r="E138" i="5"/>
  <c r="AC12" i="20" s="1"/>
  <c r="AC26" i="20" s="1"/>
  <c r="AM86" i="25"/>
  <c r="O130" i="25" s="1"/>
  <c r="O152" i="25" s="1"/>
  <c r="AM77" i="25"/>
  <c r="O121" i="25" s="1"/>
  <c r="O143" i="25" s="1"/>
  <c r="AA100" i="25"/>
  <c r="O122" i="25" s="1"/>
  <c r="O144" i="25" s="1"/>
  <c r="AG29" i="21"/>
  <c r="AG30" i="21" s="1"/>
  <c r="L239" i="25"/>
  <c r="L234" i="25"/>
  <c r="L249" i="25" s="1"/>
  <c r="J65" i="20"/>
  <c r="L233" i="25"/>
  <c r="S88" i="2"/>
  <c r="T88" i="2" s="1"/>
  <c r="E64" i="25" s="1"/>
  <c r="Q76" i="25" s="1"/>
  <c r="J450" i="2"/>
  <c r="AH40" i="20"/>
  <c r="L237" i="25"/>
  <c r="L252" i="25" s="1"/>
  <c r="L236" i="25"/>
  <c r="L251" i="25" s="1"/>
  <c r="N331" i="2"/>
  <c r="S229" i="2"/>
  <c r="J444" i="2"/>
  <c r="N466" i="2"/>
  <c r="C12" i="20"/>
  <c r="H48" i="20"/>
  <c r="L210" i="25"/>
  <c r="X210" i="25" s="1"/>
  <c r="AJ210" i="25" s="1"/>
  <c r="L225" i="25"/>
  <c r="Q136" i="23"/>
  <c r="J136" i="23"/>
  <c r="K139" i="23"/>
  <c r="R139" i="23"/>
  <c r="K137" i="23"/>
  <c r="R137" i="23"/>
  <c r="Y220" i="25"/>
  <c r="AK205" i="25"/>
  <c r="AK207" i="25"/>
  <c r="Y222" i="25"/>
  <c r="N471" i="2"/>
  <c r="F168" i="5"/>
  <c r="AD41" i="20" s="1"/>
  <c r="F171" i="5"/>
  <c r="AH238" i="2"/>
  <c r="AO238" i="2"/>
  <c r="AO281" i="2" s="1"/>
  <c r="D53" i="20" s="1"/>
  <c r="F133" i="23"/>
  <c r="Z372" i="2"/>
  <c r="AA372" i="2"/>
  <c r="F130" i="23"/>
  <c r="AA379" i="2"/>
  <c r="AO380" i="2"/>
  <c r="AH380" i="2"/>
  <c r="AI375" i="2"/>
  <c r="AO375" i="2"/>
  <c r="Q140" i="23"/>
  <c r="J140" i="23"/>
  <c r="R130" i="23"/>
  <c r="K130" i="23"/>
  <c r="K132" i="23"/>
  <c r="R132" i="23"/>
  <c r="R131" i="23"/>
  <c r="K131" i="23"/>
  <c r="J476" i="2"/>
  <c r="Q129" i="23"/>
  <c r="J129" i="23"/>
  <c r="J130" i="23"/>
  <c r="Q130" i="23"/>
  <c r="L235" i="25"/>
  <c r="AH236" i="2"/>
  <c r="S227" i="2"/>
  <c r="Q135" i="23"/>
  <c r="J135" i="23"/>
  <c r="Q134" i="23"/>
  <c r="J134" i="23"/>
  <c r="J139" i="23"/>
  <c r="Q139" i="23"/>
  <c r="L116" i="25"/>
  <c r="L138" i="25" s="1"/>
  <c r="E12" i="21"/>
  <c r="H10" i="20"/>
  <c r="M187" i="25"/>
  <c r="Y201" i="25" s="1"/>
  <c r="AR310" i="2"/>
  <c r="AK209" i="25"/>
  <c r="Y224" i="25"/>
  <c r="N444" i="2"/>
  <c r="F139" i="5"/>
  <c r="AD13" i="20" s="1"/>
  <c r="F141" i="5"/>
  <c r="N304" i="2"/>
  <c r="AA380" i="2"/>
  <c r="F131" i="23"/>
  <c r="F137" i="23"/>
  <c r="AA375" i="2"/>
  <c r="Z375" i="2"/>
  <c r="L232" i="25"/>
  <c r="L247" i="25" s="1"/>
  <c r="C11" i="20"/>
  <c r="H47" i="20"/>
  <c r="I47" i="20"/>
  <c r="H6" i="20"/>
  <c r="E8" i="21"/>
  <c r="R135" i="23"/>
  <c r="K135" i="23"/>
  <c r="Y217" i="25"/>
  <c r="AK202" i="25"/>
  <c r="AA374" i="2"/>
  <c r="Z374" i="2"/>
  <c r="F135" i="23"/>
  <c r="F233" i="25"/>
  <c r="R129" i="23"/>
  <c r="K129" i="23"/>
  <c r="Q132" i="23"/>
  <c r="J132" i="23"/>
  <c r="G64" i="23"/>
  <c r="AR448" i="2"/>
  <c r="AR444" i="2" s="1"/>
  <c r="G170" i="23" s="1"/>
  <c r="H129" i="5"/>
  <c r="H139" i="5" s="1"/>
  <c r="AF13" i="20" s="1"/>
  <c r="L83" i="5"/>
  <c r="H130" i="5" s="1"/>
  <c r="H140" i="5" s="1"/>
  <c r="AF14" i="20" s="1"/>
  <c r="H151" i="5"/>
  <c r="H168" i="5" s="1"/>
  <c r="AF41" i="20" s="1"/>
  <c r="L186" i="25"/>
  <c r="E171" i="23"/>
  <c r="S226" i="2"/>
  <c r="Z236" i="2"/>
  <c r="K140" i="23"/>
  <c r="R140" i="23"/>
  <c r="Z96" i="2"/>
  <c r="S86" i="2"/>
  <c r="J28" i="20"/>
  <c r="G91" i="23"/>
  <c r="W443" i="2"/>
  <c r="Y443" i="2"/>
  <c r="Y522" i="2" s="1"/>
  <c r="AK204" i="25"/>
  <c r="Y219" i="25"/>
  <c r="AK203" i="25"/>
  <c r="Y218" i="25"/>
  <c r="G192" i="25"/>
  <c r="S209" i="25" s="1"/>
  <c r="S211" i="25" s="1"/>
  <c r="M210" i="25" s="1"/>
  <c r="Y210" i="25" s="1"/>
  <c r="AK210" i="25" s="1"/>
  <c r="F65" i="23"/>
  <c r="K133" i="23"/>
  <c r="R133" i="23"/>
  <c r="R134" i="23"/>
  <c r="K134" i="23"/>
  <c r="N310" i="2"/>
  <c r="N336" i="2"/>
  <c r="AA381" i="2"/>
  <c r="F134" i="23"/>
  <c r="Z373" i="2"/>
  <c r="AA373" i="2"/>
  <c r="F132" i="23"/>
  <c r="F138" i="23"/>
  <c r="W369" i="2"/>
  <c r="Z369" i="2"/>
  <c r="Z378" i="2" s="1"/>
  <c r="AA369" i="2"/>
  <c r="AA378" i="2" s="1"/>
  <c r="AB378" i="2"/>
  <c r="AC378" i="2" s="1"/>
  <c r="AD378" i="2" s="1"/>
  <c r="F129" i="23"/>
  <c r="AA366" i="2"/>
  <c r="AF28" i="21"/>
  <c r="AF14" i="21"/>
  <c r="Q133" i="23"/>
  <c r="J133" i="23"/>
  <c r="H65" i="20"/>
  <c r="I65" i="20"/>
  <c r="Q138" i="23"/>
  <c r="J138" i="23"/>
  <c r="S87" i="2"/>
  <c r="R87" i="2" s="1"/>
  <c r="S89" i="2"/>
  <c r="R224" i="25"/>
  <c r="R226" i="25" s="1"/>
  <c r="R227" i="25" s="1"/>
  <c r="AD209" i="25"/>
  <c r="J466" i="2"/>
  <c r="J471" i="2"/>
  <c r="AD85" i="2"/>
  <c r="Q137" i="23"/>
  <c r="J137" i="23"/>
  <c r="J81" i="5"/>
  <c r="J80" i="5" s="1"/>
  <c r="C105" i="5" s="1"/>
  <c r="G156" i="5" s="1"/>
  <c r="G169" i="5" s="1"/>
  <c r="AE42" i="20" s="1"/>
  <c r="L81" i="5"/>
  <c r="L80" i="5" s="1"/>
  <c r="C106" i="5" s="1"/>
  <c r="H156" i="5" s="1"/>
  <c r="H169" i="5" s="1"/>
  <c r="AF42" i="20" s="1"/>
  <c r="I80" i="5"/>
  <c r="AJ201" i="25"/>
  <c r="X216" i="25"/>
  <c r="AH98" i="2"/>
  <c r="AH141" i="2" s="1"/>
  <c r="C50" i="20" s="1"/>
  <c r="AO98" i="2"/>
  <c r="AO141" i="2" s="1"/>
  <c r="C53" i="20" s="1"/>
  <c r="E11" i="21"/>
  <c r="H9" i="20"/>
  <c r="J24" i="20"/>
  <c r="I196" i="25"/>
  <c r="H196" i="25" s="1"/>
  <c r="T451" i="2"/>
  <c r="T452" i="2"/>
  <c r="I189" i="25" s="1"/>
  <c r="AR451" i="2"/>
  <c r="AR458" i="2"/>
  <c r="O191" i="25" s="1"/>
  <c r="AR456" i="2"/>
  <c r="O195" i="25" s="1"/>
  <c r="AR454" i="2"/>
  <c r="O190" i="25" s="1"/>
  <c r="AR452" i="2"/>
  <c r="O188" i="25" s="1"/>
  <c r="AR455" i="2"/>
  <c r="O193" i="25" s="1"/>
  <c r="AR460" i="2"/>
  <c r="O196" i="25" s="1"/>
  <c r="N196" i="25" s="1"/>
  <c r="AR459" i="2"/>
  <c r="O192" i="25" s="1"/>
  <c r="AR453" i="2"/>
  <c r="O189" i="25" s="1"/>
  <c r="S218" i="25"/>
  <c r="AE203" i="25"/>
  <c r="Y221" i="25"/>
  <c r="AK206" i="25"/>
  <c r="N476" i="2"/>
  <c r="AI14" i="20"/>
  <c r="AD28" i="20"/>
  <c r="AI28" i="20" s="1"/>
  <c r="S228" i="2"/>
  <c r="AA238" i="2"/>
  <c r="N326" i="2"/>
  <c r="Q131" i="23"/>
  <c r="J131" i="23"/>
  <c r="AB376" i="2"/>
  <c r="AC376" i="2" s="1"/>
  <c r="F139" i="23"/>
  <c r="W367" i="2"/>
  <c r="Z367" i="2"/>
  <c r="Z370" i="2" s="1"/>
  <c r="AA367" i="2"/>
  <c r="AF369" i="2"/>
  <c r="AO369" i="2"/>
  <c r="F140" i="23"/>
  <c r="AA371" i="2"/>
  <c r="W371" i="2"/>
  <c r="Z371" i="2"/>
  <c r="AC24" i="20"/>
  <c r="AH24" i="20" s="1"/>
  <c r="AC38" i="20"/>
  <c r="AH10" i="20"/>
  <c r="D66" i="20"/>
  <c r="I66" i="20" s="1"/>
  <c r="AD196" i="2"/>
  <c r="D70" i="20" s="1"/>
  <c r="I70" i="20" s="1"/>
  <c r="AA359" i="2"/>
  <c r="AA363" i="2" s="1"/>
  <c r="AC359" i="2"/>
  <c r="AD359" i="2" s="1"/>
  <c r="F126" i="23"/>
  <c r="Z359" i="2"/>
  <c r="Z363" i="2" s="1"/>
  <c r="AB363" i="2"/>
  <c r="W359" i="2"/>
  <c r="AB351" i="2"/>
  <c r="AC347" i="2"/>
  <c r="AD347" i="2" s="1"/>
  <c r="AA347" i="2"/>
  <c r="AA351" i="2" s="1"/>
  <c r="F118" i="23"/>
  <c r="W347" i="2"/>
  <c r="Z347" i="2"/>
  <c r="Z351" i="2" s="1"/>
  <c r="I25" i="20"/>
  <c r="D36" i="20"/>
  <c r="I36" i="20" s="1"/>
  <c r="Y487" i="2"/>
  <c r="Y491" i="2" s="1"/>
  <c r="AB486" i="2"/>
  <c r="AI358" i="2"/>
  <c r="J30" i="20"/>
  <c r="Y499" i="2"/>
  <c r="Y503" i="2" s="1"/>
  <c r="AB498" i="2"/>
  <c r="G99" i="23"/>
  <c r="Z454" i="2"/>
  <c r="AA454" i="2"/>
  <c r="AC454" i="2"/>
  <c r="L117" i="23"/>
  <c r="S117" i="23"/>
  <c r="M86" i="23"/>
  <c r="T86" i="23"/>
  <c r="AF219" i="2"/>
  <c r="AD213" i="2"/>
  <c r="AC484" i="2"/>
  <c r="AD484" i="2" s="1"/>
  <c r="AA484" i="2"/>
  <c r="G115" i="23"/>
  <c r="AI346" i="2"/>
  <c r="AF207" i="2"/>
  <c r="AD201" i="2"/>
  <c r="D77" i="20" s="1"/>
  <c r="I77" i="20" s="1"/>
  <c r="F136" i="23"/>
  <c r="W368" i="2"/>
  <c r="Z368" i="2"/>
  <c r="Z377" i="2" s="1"/>
  <c r="AB377" i="2"/>
  <c r="AC377" i="2" s="1"/>
  <c r="AD377" i="2" s="1"/>
  <c r="AA368" i="2"/>
  <c r="AA377" i="2" s="1"/>
  <c r="AC496" i="2"/>
  <c r="AD496" i="2" s="1"/>
  <c r="AA496" i="2"/>
  <c r="G123" i="23"/>
  <c r="S125" i="23"/>
  <c r="L125" i="23"/>
  <c r="Z315" i="2"/>
  <c r="Z319" i="2" s="1"/>
  <c r="AB319" i="2"/>
  <c r="AA315" i="2"/>
  <c r="AA319" i="2" s="1"/>
  <c r="W315" i="2"/>
  <c r="F100" i="23"/>
  <c r="AC315" i="2"/>
  <c r="AC319" i="2" s="1"/>
  <c r="Y508" i="2"/>
  <c r="Y455" i="2"/>
  <c r="Y438" i="2"/>
  <c r="AC438" i="2"/>
  <c r="AL288" i="25"/>
  <c r="AL298" i="25" s="1"/>
  <c r="H20" i="25" s="1"/>
  <c r="Z304" i="25"/>
  <c r="Z314" i="25" s="1"/>
  <c r="H21" i="25" s="1"/>
  <c r="AA304" i="25"/>
  <c r="AA314" i="25" s="1"/>
  <c r="AA315" i="25" s="1"/>
  <c r="H33" i="25" s="1"/>
  <c r="AM288" i="25"/>
  <c r="AH55" i="20"/>
  <c r="AF29" i="21"/>
  <c r="AK40" i="20"/>
  <c r="AF55" i="20"/>
  <c r="AK55" i="20" s="1"/>
  <c r="AK11" i="20"/>
  <c r="AF25" i="20"/>
  <c r="AK25" i="20" s="1"/>
  <c r="AF26" i="20"/>
  <c r="AK26" i="20" s="1"/>
  <c r="AK12" i="20"/>
  <c r="M338" i="25"/>
  <c r="N329" i="25"/>
  <c r="N345" i="25" s="1"/>
  <c r="O329" i="25"/>
  <c r="O345" i="25" s="1"/>
  <c r="S315" i="25"/>
  <c r="N324" i="25"/>
  <c r="N340" i="25" s="1"/>
  <c r="O321" i="25"/>
  <c r="O337" i="25" s="1"/>
  <c r="F330" i="25"/>
  <c r="L343" i="25"/>
  <c r="L346" i="25" s="1"/>
  <c r="N321" i="25"/>
  <c r="N337" i="25" s="1"/>
  <c r="N335" i="25"/>
  <c r="H274" i="25"/>
  <c r="T290" i="25" s="1"/>
  <c r="U290" i="25"/>
  <c r="AF294" i="25"/>
  <c r="T310" i="25"/>
  <c r="O335" i="25"/>
  <c r="O324" i="25"/>
  <c r="O340" i="25" s="1"/>
  <c r="G326" i="25"/>
  <c r="U310" i="25"/>
  <c r="AG294" i="25"/>
  <c r="K31" i="20"/>
  <c r="F13" i="20"/>
  <c r="G137" i="5"/>
  <c r="AE11" i="20" s="1"/>
  <c r="K68" i="20"/>
  <c r="E46" i="20" l="1"/>
  <c r="BV66" i="2"/>
  <c r="F34" i="20"/>
  <c r="K34" i="20" s="1"/>
  <c r="G16" i="20"/>
  <c r="I18" i="21" s="1"/>
  <c r="G29" i="20"/>
  <c r="BW59" i="2"/>
  <c r="CE59" i="2" s="1"/>
  <c r="CD57" i="2"/>
  <c r="Q19" i="21"/>
  <c r="Q20" i="21" s="1"/>
  <c r="Q15" i="21"/>
  <c r="C43" i="20"/>
  <c r="H43" i="20" s="1"/>
  <c r="BT64" i="2"/>
  <c r="CB64" i="2" s="1"/>
  <c r="CB73" i="2" s="1"/>
  <c r="CA57" i="2"/>
  <c r="J34" i="20"/>
  <c r="E42" i="20"/>
  <c r="J42" i="20" s="1"/>
  <c r="BS66" i="2"/>
  <c r="CD21" i="2"/>
  <c r="BV21" i="2"/>
  <c r="CC21" i="2" s="1"/>
  <c r="AF30" i="21"/>
  <c r="J16" i="20"/>
  <c r="Z80" i="25"/>
  <c r="Z102" i="25" s="1"/>
  <c r="P14" i="21"/>
  <c r="Q24" i="21"/>
  <c r="BX58" i="2"/>
  <c r="CF58" i="2" s="1"/>
  <c r="CF76" i="2" s="1"/>
  <c r="CF57" i="2"/>
  <c r="CF75" i="2" s="1"/>
  <c r="CD27" i="2"/>
  <c r="BV27" i="2"/>
  <c r="CC27" i="2" s="1"/>
  <c r="CE57" i="2"/>
  <c r="BW58" i="2"/>
  <c r="CE58" i="2" s="1"/>
  <c r="AK370" i="2"/>
  <c r="AK421" i="2" s="1"/>
  <c r="AM72" i="25"/>
  <c r="O116" i="25" s="1"/>
  <c r="AL78" i="25"/>
  <c r="N122" i="25" s="1"/>
  <c r="N144" i="25" s="1"/>
  <c r="Q8" i="21"/>
  <c r="Q22" i="21" s="1"/>
  <c r="Q25" i="21" s="1"/>
  <c r="Z108" i="25"/>
  <c r="N130" i="25" s="1"/>
  <c r="N152" i="25" s="1"/>
  <c r="Z105" i="25"/>
  <c r="N127" i="25" s="1"/>
  <c r="Z98" i="25"/>
  <c r="N120" i="25" s="1"/>
  <c r="AA103" i="25"/>
  <c r="O125" i="25" s="1"/>
  <c r="O147" i="25" s="1"/>
  <c r="AL74" i="25"/>
  <c r="N118" i="25" s="1"/>
  <c r="N140" i="25" s="1"/>
  <c r="Z99" i="25"/>
  <c r="N121" i="25" s="1"/>
  <c r="N143" i="25" s="1"/>
  <c r="AG15" i="21"/>
  <c r="AG16" i="21" s="1"/>
  <c r="AL84" i="25"/>
  <c r="N128" i="25" s="1"/>
  <c r="Z109" i="25"/>
  <c r="N131" i="25" s="1"/>
  <c r="N153" i="25" s="1"/>
  <c r="N168" i="25"/>
  <c r="N171" i="25" s="1"/>
  <c r="N174" i="25" s="1"/>
  <c r="H17" i="25" s="1"/>
  <c r="AF10" i="20" s="1"/>
  <c r="AF24" i="20" s="1"/>
  <c r="AK24" i="20" s="1"/>
  <c r="AJ39" i="20"/>
  <c r="AL85" i="25"/>
  <c r="N129" i="25" s="1"/>
  <c r="H38" i="25"/>
  <c r="AH14" i="21" s="1"/>
  <c r="F8" i="21"/>
  <c r="O67" i="25"/>
  <c r="N67" i="25" s="1"/>
  <c r="AM79" i="25"/>
  <c r="O123" i="25" s="1"/>
  <c r="O145" i="25" s="1"/>
  <c r="D12" i="20"/>
  <c r="F14" i="21" s="1"/>
  <c r="AL75" i="25"/>
  <c r="N119" i="25" s="1"/>
  <c r="F35" i="20"/>
  <c r="K35" i="20" s="1"/>
  <c r="AM73" i="25"/>
  <c r="O117" i="25" s="1"/>
  <c r="O139" i="25" s="1"/>
  <c r="AD225" i="2"/>
  <c r="D76" i="20" s="1"/>
  <c r="J35" i="20"/>
  <c r="AD319" i="2"/>
  <c r="AH319" i="2" s="1"/>
  <c r="AH336" i="2" s="1"/>
  <c r="E32" i="20" s="1"/>
  <c r="J32" i="20" s="1"/>
  <c r="AA104" i="25"/>
  <c r="AM82" i="25"/>
  <c r="AL208" i="25"/>
  <c r="Z223" i="25"/>
  <c r="AA223" i="25"/>
  <c r="AM208" i="25"/>
  <c r="Z104" i="25"/>
  <c r="AL82" i="25"/>
  <c r="I10" i="20"/>
  <c r="J46" i="20"/>
  <c r="E10" i="20"/>
  <c r="G12" i="21" s="1"/>
  <c r="E9" i="20"/>
  <c r="G11" i="21" s="1"/>
  <c r="J45" i="20"/>
  <c r="O9" i="21"/>
  <c r="O10" i="21" s="1"/>
  <c r="O11" i="21" s="1"/>
  <c r="E6" i="20"/>
  <c r="J6" i="20" s="1"/>
  <c r="AA376" i="2"/>
  <c r="AA370" i="2"/>
  <c r="F11" i="21"/>
  <c r="AD376" i="2"/>
  <c r="AH376" i="2" s="1"/>
  <c r="G148" i="5"/>
  <c r="G167" i="5" s="1"/>
  <c r="AE40" i="20" s="1"/>
  <c r="R88" i="2"/>
  <c r="AH12" i="20"/>
  <c r="Z72" i="25"/>
  <c r="G38" i="25"/>
  <c r="M173" i="25"/>
  <c r="G17" i="25" s="1"/>
  <c r="AD10" i="20" s="1"/>
  <c r="Y94" i="25"/>
  <c r="AK72" i="25"/>
  <c r="P7" i="21"/>
  <c r="P12" i="21" s="1"/>
  <c r="P13" i="21" s="1"/>
  <c r="M124" i="25"/>
  <c r="M146" i="25" s="1"/>
  <c r="O8" i="21"/>
  <c r="O22" i="21" s="1"/>
  <c r="M232" i="25"/>
  <c r="M247" i="25" s="1"/>
  <c r="AH281" i="2"/>
  <c r="D50" i="20" s="1"/>
  <c r="D14" i="20" s="1"/>
  <c r="F16" i="21" s="1"/>
  <c r="C54" i="20"/>
  <c r="H54" i="20" s="1"/>
  <c r="X211" i="25"/>
  <c r="F30" i="25" s="1"/>
  <c r="M233" i="25"/>
  <c r="M225" i="25"/>
  <c r="Y225" i="25" s="1"/>
  <c r="M240" i="25" s="1"/>
  <c r="M255" i="25" s="1"/>
  <c r="M239" i="25"/>
  <c r="M237" i="25"/>
  <c r="M252" i="25" s="1"/>
  <c r="O320" i="25"/>
  <c r="O336" i="25" s="1"/>
  <c r="S369" i="2"/>
  <c r="T369" i="2" s="1"/>
  <c r="G65" i="25" s="1"/>
  <c r="S75" i="25" s="1"/>
  <c r="AE75" i="25" s="1"/>
  <c r="M235" i="25"/>
  <c r="X225" i="25"/>
  <c r="L240" i="25" s="1"/>
  <c r="L255" i="25" s="1"/>
  <c r="T229" i="2"/>
  <c r="F65" i="25" s="1"/>
  <c r="R75" i="25" s="1"/>
  <c r="R229" i="2"/>
  <c r="S139" i="23"/>
  <c r="L139" i="23"/>
  <c r="C76" i="20"/>
  <c r="H76" i="20" s="1"/>
  <c r="AD141" i="2"/>
  <c r="C86" i="20" s="1"/>
  <c r="S129" i="23"/>
  <c r="L129" i="23"/>
  <c r="AK13" i="20"/>
  <c r="AF27" i="20"/>
  <c r="N320" i="25"/>
  <c r="N336" i="25" s="1"/>
  <c r="AC53" i="20"/>
  <c r="AH53" i="20" s="1"/>
  <c r="AH38" i="20"/>
  <c r="R138" i="23"/>
  <c r="K138" i="23"/>
  <c r="AA203" i="25"/>
  <c r="N189" i="25"/>
  <c r="Z203" i="25" s="1"/>
  <c r="AA202" i="25"/>
  <c r="N188" i="25"/>
  <c r="Z202" i="25" s="1"/>
  <c r="O187" i="25"/>
  <c r="AR450" i="2"/>
  <c r="AJ42" i="20"/>
  <c r="AE57" i="20"/>
  <c r="AJ57" i="20" s="1"/>
  <c r="R89" i="2"/>
  <c r="T86" i="2"/>
  <c r="E62" i="25" s="1"/>
  <c r="Q86" i="25" s="1"/>
  <c r="T89" i="2"/>
  <c r="E65" i="25" s="1"/>
  <c r="Q75" i="25" s="1"/>
  <c r="Q98" i="25"/>
  <c r="AC76" i="25"/>
  <c r="AO378" i="2"/>
  <c r="AO421" i="2" s="1"/>
  <c r="E53" i="20" s="1"/>
  <c r="AH378" i="2"/>
  <c r="S138" i="23"/>
  <c r="L138" i="23"/>
  <c r="L134" i="23"/>
  <c r="S134" i="23"/>
  <c r="S85" i="2"/>
  <c r="R86" i="2"/>
  <c r="S135" i="23"/>
  <c r="L135" i="23"/>
  <c r="E13" i="21"/>
  <c r="H11" i="20"/>
  <c r="I11" i="20"/>
  <c r="S137" i="23"/>
  <c r="L137" i="23"/>
  <c r="S131" i="23"/>
  <c r="L131" i="23"/>
  <c r="AD27" i="20"/>
  <c r="AI13" i="20"/>
  <c r="M186" i="25"/>
  <c r="F171" i="23"/>
  <c r="L133" i="23"/>
  <c r="S133" i="23"/>
  <c r="AI41" i="20"/>
  <c r="AD56" i="20"/>
  <c r="H12" i="20"/>
  <c r="E14" i="21"/>
  <c r="AA207" i="25"/>
  <c r="N193" i="25"/>
  <c r="Z207" i="25" s="1"/>
  <c r="AC521" i="2"/>
  <c r="AD521" i="2" s="1"/>
  <c r="AL521" i="2" s="1"/>
  <c r="AC511" i="2"/>
  <c r="AD511" i="2" s="1"/>
  <c r="AE511" i="2" s="1"/>
  <c r="AE561" i="2" s="1"/>
  <c r="AC512" i="2"/>
  <c r="AD512" i="2" s="1"/>
  <c r="AJ512" i="2" s="1"/>
  <c r="AJ561" i="2" s="1"/>
  <c r="AB521" i="2"/>
  <c r="AB513" i="2"/>
  <c r="AC515" i="2"/>
  <c r="AD515" i="2" s="1"/>
  <c r="AC509" i="2"/>
  <c r="AD509" i="2" s="1"/>
  <c r="AC513" i="2"/>
  <c r="AD513" i="2" s="1"/>
  <c r="AI513" i="2" s="1"/>
  <c r="AC520" i="2"/>
  <c r="AD520" i="2" s="1"/>
  <c r="AB509" i="2"/>
  <c r="AB507" i="2"/>
  <c r="AB510" i="2" s="1"/>
  <c r="AC507" i="2"/>
  <c r="AC506" i="2"/>
  <c r="AD506" i="2" s="1"/>
  <c r="AN506" i="2" s="1"/>
  <c r="AN561" i="2" s="1"/>
  <c r="AB511" i="2"/>
  <c r="AB515" i="2"/>
  <c r="AC519" i="2"/>
  <c r="AD519" i="2" s="1"/>
  <c r="AH519" i="2" s="1"/>
  <c r="AB519" i="2"/>
  <c r="AB520" i="2"/>
  <c r="AB512" i="2"/>
  <c r="T227" i="2"/>
  <c r="F63" i="25" s="1"/>
  <c r="R87" i="25" s="1"/>
  <c r="R227" i="2"/>
  <c r="S368" i="2"/>
  <c r="AC514" i="2"/>
  <c r="AD514" i="2" s="1"/>
  <c r="AI514" i="2" s="1"/>
  <c r="S140" i="23"/>
  <c r="L140" i="23"/>
  <c r="Z376" i="2"/>
  <c r="S366" i="2"/>
  <c r="N192" i="25"/>
  <c r="Z206" i="25" s="1"/>
  <c r="AA206" i="25"/>
  <c r="N190" i="25"/>
  <c r="Z204" i="25" s="1"/>
  <c r="AA204" i="25"/>
  <c r="H189" i="25"/>
  <c r="T203" i="25" s="1"/>
  <c r="U203" i="25"/>
  <c r="C17" i="20"/>
  <c r="H53" i="20"/>
  <c r="AJ211" i="25"/>
  <c r="F18" i="25" s="1"/>
  <c r="L231" i="25"/>
  <c r="S132" i="23"/>
  <c r="L132" i="23"/>
  <c r="S224" i="25"/>
  <c r="S226" i="25" s="1"/>
  <c r="S227" i="25" s="1"/>
  <c r="AE209" i="25"/>
  <c r="AE211" i="25" s="1"/>
  <c r="M234" i="25"/>
  <c r="M249" i="25" s="1"/>
  <c r="T91" i="23"/>
  <c r="M91" i="23"/>
  <c r="AK41" i="20"/>
  <c r="AF56" i="20"/>
  <c r="AK201" i="25"/>
  <c r="Y216" i="25"/>
  <c r="Y211" i="25"/>
  <c r="G30" i="25" s="1"/>
  <c r="S130" i="23"/>
  <c r="L130" i="23"/>
  <c r="I53" i="20"/>
  <c r="D17" i="20"/>
  <c r="AA205" i="25"/>
  <c r="N191" i="25"/>
  <c r="Z205" i="25" s="1"/>
  <c r="AF57" i="20"/>
  <c r="AK57" i="20" s="1"/>
  <c r="AK42" i="20"/>
  <c r="AH26" i="20"/>
  <c r="AF15" i="21"/>
  <c r="AF16" i="21" s="1"/>
  <c r="H141" i="5"/>
  <c r="H171" i="5"/>
  <c r="Z315" i="25"/>
  <c r="AB514" i="2"/>
  <c r="G135" i="23" s="1"/>
  <c r="S367" i="2"/>
  <c r="T228" i="2"/>
  <c r="F64" i="25" s="1"/>
  <c r="R76" i="25" s="1"/>
  <c r="R228" i="2"/>
  <c r="M236" i="25"/>
  <c r="M251" i="25" s="1"/>
  <c r="G233" i="25"/>
  <c r="N195" i="25"/>
  <c r="Z209" i="25" s="1"/>
  <c r="AA209" i="25"/>
  <c r="I192" i="25"/>
  <c r="G65" i="23"/>
  <c r="C14" i="20"/>
  <c r="H50" i="20"/>
  <c r="G129" i="5"/>
  <c r="G139" i="5" s="1"/>
  <c r="AE13" i="20" s="1"/>
  <c r="J83" i="5"/>
  <c r="G130" i="5" s="1"/>
  <c r="G140" i="5" s="1"/>
  <c r="AE14" i="20" s="1"/>
  <c r="G151" i="5"/>
  <c r="G168" i="5" s="1"/>
  <c r="AE41" i="20" s="1"/>
  <c r="F239" i="25"/>
  <c r="L254" i="25" s="1"/>
  <c r="AJ443" i="2"/>
  <c r="AJ476" i="2" s="1"/>
  <c r="AF443" i="2"/>
  <c r="AE443" i="2"/>
  <c r="AE476" i="2" s="1"/>
  <c r="L248" i="25"/>
  <c r="R226" i="2"/>
  <c r="S225" i="2"/>
  <c r="T226" i="2"/>
  <c r="F62" i="25" s="1"/>
  <c r="R86" i="25" s="1"/>
  <c r="AK14" i="20"/>
  <c r="AF28" i="20"/>
  <c r="AK28" i="20" s="1"/>
  <c r="AD211" i="25"/>
  <c r="L250" i="25"/>
  <c r="Y517" i="2"/>
  <c r="AB508" i="2"/>
  <c r="AC508" i="2"/>
  <c r="AD508" i="2" s="1"/>
  <c r="AF508" i="2" s="1"/>
  <c r="AL496" i="2"/>
  <c r="L136" i="23"/>
  <c r="S136" i="23"/>
  <c r="AI454" i="2"/>
  <c r="AI476" i="2" s="1"/>
  <c r="G30" i="20" s="1"/>
  <c r="M99" i="23"/>
  <c r="T99" i="23"/>
  <c r="G117" i="23"/>
  <c r="AA486" i="2"/>
  <c r="AC486" i="2"/>
  <c r="AD486" i="2" s="1"/>
  <c r="AI486" i="2" s="1"/>
  <c r="AB487" i="2"/>
  <c r="Z486" i="2"/>
  <c r="L118" i="23"/>
  <c r="S118" i="23"/>
  <c r="AC363" i="2"/>
  <c r="AF315" i="2"/>
  <c r="AF336" i="2" s="1"/>
  <c r="M123" i="23"/>
  <c r="T123" i="23"/>
  <c r="AH377" i="2"/>
  <c r="AL484" i="2"/>
  <c r="AC498" i="2"/>
  <c r="AD498" i="2" s="1"/>
  <c r="AI498" i="2" s="1"/>
  <c r="AB499" i="2"/>
  <c r="Z498" i="2"/>
  <c r="AA498" i="2"/>
  <c r="G125" i="23"/>
  <c r="T115" i="23"/>
  <c r="M115" i="23"/>
  <c r="S126" i="23"/>
  <c r="L126" i="23"/>
  <c r="AH438" i="2"/>
  <c r="AD426" i="2"/>
  <c r="Y459" i="2"/>
  <c r="AB455" i="2"/>
  <c r="AD455" i="2" s="1"/>
  <c r="L100" i="23"/>
  <c r="S100" i="23"/>
  <c r="AF281" i="2"/>
  <c r="AI421" i="2"/>
  <c r="E48" i="20" s="1"/>
  <c r="D78" i="20"/>
  <c r="I78" i="20" s="1"/>
  <c r="AC351" i="2"/>
  <c r="AM298" i="25"/>
  <c r="AE25" i="20"/>
  <c r="AJ25" i="20" s="1"/>
  <c r="AJ11" i="20"/>
  <c r="AJ12" i="20"/>
  <c r="AE26" i="20"/>
  <c r="AJ26" i="20" s="1"/>
  <c r="AH15" i="21"/>
  <c r="AH16" i="21" s="1"/>
  <c r="AF39" i="20"/>
  <c r="K13" i="20"/>
  <c r="H15" i="21"/>
  <c r="I326" i="25"/>
  <c r="O342" i="25" s="1"/>
  <c r="O138" i="25"/>
  <c r="G330" i="25"/>
  <c r="M342" i="25"/>
  <c r="M346" i="25" s="1"/>
  <c r="AG290" i="25"/>
  <c r="U298" i="25"/>
  <c r="U306" i="25"/>
  <c r="U314" i="25" s="1"/>
  <c r="H326" i="25"/>
  <c r="T306" i="25"/>
  <c r="T314" i="25" s="1"/>
  <c r="T298" i="25"/>
  <c r="AF290" i="25"/>
  <c r="AG33" i="21"/>
  <c r="AF33" i="21"/>
  <c r="AF34" i="21" s="1"/>
  <c r="E25" i="20" l="1"/>
  <c r="BT57" i="2"/>
  <c r="G46" i="20"/>
  <c r="BV68" i="2"/>
  <c r="CD68" i="2" s="1"/>
  <c r="G42" i="20"/>
  <c r="BS68" i="2"/>
  <c r="CA68" i="2" s="1"/>
  <c r="L16" i="20"/>
  <c r="G24" i="20"/>
  <c r="G6" i="20" s="1"/>
  <c r="BS59" i="2"/>
  <c r="AL80" i="25"/>
  <c r="N124" i="25" s="1"/>
  <c r="N146" i="25" s="1"/>
  <c r="F16" i="20"/>
  <c r="K16" i="20" s="1"/>
  <c r="CD66" i="2"/>
  <c r="D43" i="20"/>
  <c r="BT65" i="2"/>
  <c r="CB65" i="2" s="1"/>
  <c r="CB74" i="2" s="1"/>
  <c r="G28" i="20"/>
  <c r="BV59" i="2"/>
  <c r="CD75" i="2"/>
  <c r="C7" i="20"/>
  <c r="E9" i="21" s="1"/>
  <c r="E47" i="20"/>
  <c r="BW66" i="2"/>
  <c r="P19" i="21"/>
  <c r="P20" i="21" s="1"/>
  <c r="P24" i="21" s="1"/>
  <c r="P15" i="21"/>
  <c r="CA66" i="2"/>
  <c r="BS67" i="2"/>
  <c r="CA67" i="2" s="1"/>
  <c r="CA75" i="2"/>
  <c r="F29" i="20"/>
  <c r="K29" i="20" s="1"/>
  <c r="L29" i="20"/>
  <c r="AD281" i="2"/>
  <c r="D86" i="20" s="1"/>
  <c r="I86" i="20" s="1"/>
  <c r="AH28" i="21"/>
  <c r="I12" i="20"/>
  <c r="H7" i="20"/>
  <c r="AD365" i="2"/>
  <c r="E76" i="20" s="1"/>
  <c r="AD310" i="2"/>
  <c r="AD336" i="2" s="1"/>
  <c r="E70" i="20" s="1"/>
  <c r="J70" i="20" s="1"/>
  <c r="N126" i="25"/>
  <c r="N148" i="25" s="1"/>
  <c r="N238" i="25"/>
  <c r="N253" i="25" s="1"/>
  <c r="J10" i="20"/>
  <c r="AD363" i="2"/>
  <c r="AH363" i="2" s="1"/>
  <c r="AD351" i="2"/>
  <c r="AH351" i="2" s="1"/>
  <c r="O238" i="25"/>
  <c r="O253" i="25" s="1"/>
  <c r="O126" i="25"/>
  <c r="O148" i="25" s="1"/>
  <c r="G8" i="21"/>
  <c r="AD507" i="2"/>
  <c r="AF507" i="2" s="1"/>
  <c r="AC510" i="2"/>
  <c r="AD510" i="2" s="1"/>
  <c r="AK510" i="2" s="1"/>
  <c r="AK561" i="2" s="1"/>
  <c r="J9" i="20"/>
  <c r="Q9" i="21"/>
  <c r="AK10" i="20"/>
  <c r="H18" i="21"/>
  <c r="M116" i="25"/>
  <c r="M138" i="25" s="1"/>
  <c r="AE10" i="20"/>
  <c r="AE24" i="20" s="1"/>
  <c r="AJ24" i="20" s="1"/>
  <c r="P8" i="21"/>
  <c r="P22" i="21" s="1"/>
  <c r="AF38" i="20"/>
  <c r="AF53" i="20" s="1"/>
  <c r="AK53" i="20" s="1"/>
  <c r="AD24" i="20"/>
  <c r="AI24" i="20" s="1"/>
  <c r="AI10" i="20"/>
  <c r="AD38" i="20"/>
  <c r="AG28" i="21"/>
  <c r="AG14" i="21"/>
  <c r="Z94" i="25"/>
  <c r="AL72" i="25"/>
  <c r="F28" i="21"/>
  <c r="F24" i="21"/>
  <c r="I50" i="20"/>
  <c r="G171" i="5"/>
  <c r="I76" i="20"/>
  <c r="N330" i="25"/>
  <c r="O330" i="25"/>
  <c r="C18" i="20"/>
  <c r="C19" i="20" s="1"/>
  <c r="M250" i="25"/>
  <c r="R369" i="2"/>
  <c r="AA514" i="2"/>
  <c r="S97" i="25"/>
  <c r="G119" i="25" s="1"/>
  <c r="M151" i="25" s="1"/>
  <c r="X226" i="25"/>
  <c r="F19" i="25" s="1"/>
  <c r="Y226" i="25"/>
  <c r="G19" i="25" s="1"/>
  <c r="F241" i="25"/>
  <c r="F23" i="21"/>
  <c r="Z514" i="2"/>
  <c r="E120" i="25"/>
  <c r="K142" i="25" s="1"/>
  <c r="AD75" i="25"/>
  <c r="R97" i="25"/>
  <c r="M248" i="25"/>
  <c r="F22" i="21"/>
  <c r="U18" i="21" s="1"/>
  <c r="G141" i="5"/>
  <c r="AJ41" i="20"/>
  <c r="AE56" i="20"/>
  <c r="AJ56" i="20" s="1"/>
  <c r="Z224" i="25"/>
  <c r="AL209" i="25"/>
  <c r="M231" i="25"/>
  <c r="AK211" i="25"/>
  <c r="G18" i="25" s="1"/>
  <c r="AA506" i="2"/>
  <c r="G129" i="23"/>
  <c r="G132" i="23"/>
  <c r="AA513" i="2"/>
  <c r="Z513" i="2"/>
  <c r="R85" i="2"/>
  <c r="R141" i="2" s="1"/>
  <c r="AM202" i="25"/>
  <c r="AA217" i="25"/>
  <c r="AK27" i="20"/>
  <c r="AH17" i="21"/>
  <c r="AH18" i="21" s="1"/>
  <c r="AE28" i="20"/>
  <c r="AJ28" i="20" s="1"/>
  <c r="AJ14" i="20"/>
  <c r="AD76" i="25"/>
  <c r="R89" i="25"/>
  <c r="R98" i="25"/>
  <c r="AK56" i="20"/>
  <c r="AH31" i="21"/>
  <c r="H17" i="20"/>
  <c r="E19" i="21"/>
  <c r="T218" i="25"/>
  <c r="AF203" i="25"/>
  <c r="Z221" i="25"/>
  <c r="AL206" i="25"/>
  <c r="R109" i="25"/>
  <c r="AD87" i="25"/>
  <c r="AA512" i="2"/>
  <c r="Z512" i="2"/>
  <c r="G133" i="23"/>
  <c r="AA515" i="2"/>
  <c r="G137" i="23"/>
  <c r="Z515" i="2"/>
  <c r="G134" i="23"/>
  <c r="AA521" i="2"/>
  <c r="AL207" i="25"/>
  <c r="Z222" i="25"/>
  <c r="O186" i="25"/>
  <c r="N186" i="25" s="1"/>
  <c r="G171" i="23"/>
  <c r="Z218" i="25"/>
  <c r="AL203" i="25"/>
  <c r="L24" i="20"/>
  <c r="H14" i="20"/>
  <c r="E16" i="21"/>
  <c r="I14" i="20"/>
  <c r="I17" i="20"/>
  <c r="F19" i="21"/>
  <c r="AG203" i="25"/>
  <c r="U218" i="25"/>
  <c r="AL561" i="2"/>
  <c r="G45" i="20" s="1"/>
  <c r="L45" i="20" s="1"/>
  <c r="R225" i="2"/>
  <c r="R281" i="2" s="1"/>
  <c r="L28" i="20"/>
  <c r="G10" i="20"/>
  <c r="F28" i="20"/>
  <c r="AJ13" i="20"/>
  <c r="AE27" i="20"/>
  <c r="AJ27" i="20" s="1"/>
  <c r="U209" i="25"/>
  <c r="H192" i="25"/>
  <c r="T209" i="25" s="1"/>
  <c r="T211" i="25" s="1"/>
  <c r="T367" i="2"/>
  <c r="G63" i="25" s="1"/>
  <c r="S87" i="25" s="1"/>
  <c r="R367" i="2"/>
  <c r="E17" i="20"/>
  <c r="J53" i="20"/>
  <c r="G239" i="25"/>
  <c r="M254" i="25" s="1"/>
  <c r="L241" i="25"/>
  <c r="L246" i="25"/>
  <c r="L256" i="25" s="1"/>
  <c r="AA219" i="25"/>
  <c r="AM204" i="25"/>
  <c r="R366" i="2"/>
  <c r="S365" i="2"/>
  <c r="T366" i="2"/>
  <c r="G62" i="25" s="1"/>
  <c r="S86" i="25" s="1"/>
  <c r="G131" i="23"/>
  <c r="AA520" i="2"/>
  <c r="G140" i="23"/>
  <c r="AA511" i="2"/>
  <c r="Z511" i="2"/>
  <c r="W511" i="2"/>
  <c r="G139" i="23"/>
  <c r="Z507" i="2"/>
  <c r="Z510" i="2" s="1"/>
  <c r="AA507" i="2"/>
  <c r="W507" i="2"/>
  <c r="AB516" i="2"/>
  <c r="AC516" i="2" s="1"/>
  <c r="AD516" i="2" s="1"/>
  <c r="AH516" i="2" s="1"/>
  <c r="AO509" i="2"/>
  <c r="AF509" i="2"/>
  <c r="L46" i="20"/>
  <c r="F46" i="20"/>
  <c r="K46" i="20" s="1"/>
  <c r="AM207" i="25"/>
  <c r="AA222" i="25"/>
  <c r="AI56" i="20"/>
  <c r="AG31" i="21"/>
  <c r="AI27" i="20"/>
  <c r="AG17" i="21"/>
  <c r="AG18" i="21" s="1"/>
  <c r="Q97" i="25"/>
  <c r="Q89" i="25"/>
  <c r="K88" i="25" s="1"/>
  <c r="W88" i="25" s="1"/>
  <c r="AC75" i="25"/>
  <c r="N187" i="25"/>
  <c r="Z201" i="25" s="1"/>
  <c r="AA201" i="25"/>
  <c r="AA218" i="25"/>
  <c r="AM203" i="25"/>
  <c r="R108" i="25"/>
  <c r="AD86" i="25"/>
  <c r="AA220" i="25"/>
  <c r="AM205" i="25"/>
  <c r="AM206" i="25"/>
  <c r="AA221" i="25"/>
  <c r="AH520" i="2"/>
  <c r="AO520" i="2"/>
  <c r="C20" i="20"/>
  <c r="AA224" i="25"/>
  <c r="AM209" i="25"/>
  <c r="Z220" i="25"/>
  <c r="AL205" i="25"/>
  <c r="F21" i="21"/>
  <c r="U8" i="21" s="1"/>
  <c r="F27" i="21"/>
  <c r="F31" i="21" s="1"/>
  <c r="Z219" i="25"/>
  <c r="AL204" i="25"/>
  <c r="T368" i="2"/>
  <c r="G64" i="25" s="1"/>
  <c r="S76" i="25" s="1"/>
  <c r="R368" i="2"/>
  <c r="AA519" i="2"/>
  <c r="G130" i="23"/>
  <c r="AA509" i="2"/>
  <c r="AA518" i="2" s="1"/>
  <c r="W509" i="2"/>
  <c r="Z509" i="2"/>
  <c r="Z518" i="2" s="1"/>
  <c r="AB518" i="2"/>
  <c r="AC518" i="2" s="1"/>
  <c r="AD518" i="2" s="1"/>
  <c r="G138" i="23"/>
  <c r="AO515" i="2"/>
  <c r="AI515" i="2"/>
  <c r="AI561" i="2" s="1"/>
  <c r="G48" i="20" s="1"/>
  <c r="L42" i="20"/>
  <c r="F42" i="20"/>
  <c r="K42" i="20" s="1"/>
  <c r="E21" i="21"/>
  <c r="T8" i="21" s="1"/>
  <c r="E27" i="21"/>
  <c r="E31" i="21" s="1"/>
  <c r="AC86" i="25"/>
  <c r="Q108" i="25"/>
  <c r="AL202" i="25"/>
  <c r="Z217" i="25"/>
  <c r="E12" i="20"/>
  <c r="J48" i="20"/>
  <c r="J25" i="20"/>
  <c r="E36" i="20"/>
  <c r="J36" i="20" s="1"/>
  <c r="AF347" i="2"/>
  <c r="AB503" i="2"/>
  <c r="G126" i="23"/>
  <c r="Z499" i="2"/>
  <c r="Z503" i="2" s="1"/>
  <c r="AA499" i="2"/>
  <c r="AA503" i="2" s="1"/>
  <c r="AC499" i="2"/>
  <c r="W499" i="2"/>
  <c r="AA487" i="2"/>
  <c r="AA491" i="2" s="1"/>
  <c r="AC487" i="2"/>
  <c r="Z487" i="2"/>
  <c r="Z491" i="2" s="1"/>
  <c r="AB491" i="2"/>
  <c r="G118" i="23"/>
  <c r="W487" i="2"/>
  <c r="T135" i="23"/>
  <c r="M135" i="23"/>
  <c r="AA455" i="2"/>
  <c r="AA459" i="2" s="1"/>
  <c r="AB459" i="2"/>
  <c r="Z455" i="2"/>
  <c r="Z459" i="2" s="1"/>
  <c r="G100" i="23"/>
  <c r="W455" i="2"/>
  <c r="AC455" i="2"/>
  <c r="AC459" i="2" s="1"/>
  <c r="T125" i="23"/>
  <c r="M125" i="23"/>
  <c r="I43" i="20"/>
  <c r="D54" i="20"/>
  <c r="I54" i="20" s="1"/>
  <c r="D7" i="20"/>
  <c r="G136" i="23"/>
  <c r="AA508" i="2"/>
  <c r="AA517" i="2" s="1"/>
  <c r="W508" i="2"/>
  <c r="AB517" i="2"/>
  <c r="AC517" i="2" s="1"/>
  <c r="AD517" i="2" s="1"/>
  <c r="Z508" i="2"/>
  <c r="Z517" i="2" s="1"/>
  <c r="G65" i="20"/>
  <c r="AF359" i="2"/>
  <c r="T117" i="23"/>
  <c r="M117" i="23"/>
  <c r="L30" i="20"/>
  <c r="F30" i="20"/>
  <c r="AE55" i="20"/>
  <c r="AJ55" i="20" s="1"/>
  <c r="AJ40" i="20"/>
  <c r="AK39" i="20"/>
  <c r="AF54" i="20"/>
  <c r="U315" i="25"/>
  <c r="N342" i="25"/>
  <c r="AF298" i="25"/>
  <c r="H322" i="25"/>
  <c r="AG298" i="25"/>
  <c r="I322" i="25"/>
  <c r="O338" i="25" s="1"/>
  <c r="T315" i="25"/>
  <c r="AH33" i="21"/>
  <c r="CE66" i="2" l="1"/>
  <c r="CE75" i="2" s="1"/>
  <c r="J47" i="20"/>
  <c r="E11" i="20"/>
  <c r="F24" i="20"/>
  <c r="CD59" i="2"/>
  <c r="CD77" i="2" s="1"/>
  <c r="BV58" i="2"/>
  <c r="CD58" i="2" s="1"/>
  <c r="CD76" i="2" s="1"/>
  <c r="CB57" i="2"/>
  <c r="G47" i="20"/>
  <c r="F47" i="20" s="1"/>
  <c r="BW68" i="2"/>
  <c r="CE68" i="2" s="1"/>
  <c r="CE77" i="2" s="1"/>
  <c r="AG32" i="21"/>
  <c r="AG34" i="21"/>
  <c r="AH32" i="21"/>
  <c r="AH34" i="21"/>
  <c r="BV67" i="2"/>
  <c r="CD67" i="2" s="1"/>
  <c r="CA59" i="2"/>
  <c r="CA77" i="2" s="1"/>
  <c r="BS58" i="2"/>
  <c r="CA58" i="2" s="1"/>
  <c r="CA76" i="2" s="1"/>
  <c r="U24" i="21"/>
  <c r="U34" i="21" s="1"/>
  <c r="U20" i="21"/>
  <c r="U21" i="21" s="1"/>
  <c r="U23" i="21" s="1"/>
  <c r="P9" i="21"/>
  <c r="P10" i="21" s="1"/>
  <c r="P11" i="21" s="1"/>
  <c r="Q10" i="21"/>
  <c r="Q11" i="21" s="1"/>
  <c r="F30" i="21"/>
  <c r="N16" i="21"/>
  <c r="N17" i="21" s="1"/>
  <c r="N18" i="21" s="1"/>
  <c r="N23" i="21" s="1"/>
  <c r="U14" i="21"/>
  <c r="U10" i="21"/>
  <c r="U11" i="21" s="1"/>
  <c r="U13" i="21" s="1"/>
  <c r="U33" i="21" s="1"/>
  <c r="F29" i="21"/>
  <c r="E30" i="21"/>
  <c r="M16" i="21"/>
  <c r="M17" i="21" s="1"/>
  <c r="M18" i="21" s="1"/>
  <c r="M23" i="21" s="1"/>
  <c r="T10" i="21"/>
  <c r="T11" i="21" s="1"/>
  <c r="T13" i="21" s="1"/>
  <c r="T33" i="21" s="1"/>
  <c r="T14" i="21"/>
  <c r="E66" i="20"/>
  <c r="J66" i="20" s="1"/>
  <c r="AD353" i="2"/>
  <c r="E78" i="20" s="1"/>
  <c r="J78" i="20" s="1"/>
  <c r="AH421" i="2"/>
  <c r="E50" i="20" s="1"/>
  <c r="E14" i="20" s="1"/>
  <c r="J14" i="20" s="1"/>
  <c r="L47" i="20"/>
  <c r="AD341" i="2"/>
  <c r="E77" i="20" s="1"/>
  <c r="J77" i="20" s="1"/>
  <c r="AD459" i="2"/>
  <c r="AD450" i="2" s="1"/>
  <c r="G11" i="20"/>
  <c r="L11" i="20" s="1"/>
  <c r="AA516" i="2"/>
  <c r="AA510" i="2"/>
  <c r="AE38" i="20"/>
  <c r="AJ38" i="20" s="1"/>
  <c r="AK38" i="20"/>
  <c r="AJ10" i="20"/>
  <c r="F128" i="25"/>
  <c r="L150" i="25" s="1"/>
  <c r="N116" i="25"/>
  <c r="N138" i="25" s="1"/>
  <c r="AD53" i="20"/>
  <c r="AI53" i="20" s="1"/>
  <c r="AI38" i="20"/>
  <c r="E20" i="21"/>
  <c r="M141" i="25"/>
  <c r="H18" i="20"/>
  <c r="F45" i="20"/>
  <c r="K45" i="20" s="1"/>
  <c r="G9" i="20"/>
  <c r="I11" i="21" s="1"/>
  <c r="N239" i="25"/>
  <c r="O234" i="25"/>
  <c r="O249" i="25" s="1"/>
  <c r="Y227" i="25"/>
  <c r="G31" i="25" s="1"/>
  <c r="O239" i="25"/>
  <c r="O235" i="25"/>
  <c r="O233" i="25"/>
  <c r="F119" i="25"/>
  <c r="L141" i="25" s="1"/>
  <c r="N233" i="25"/>
  <c r="X227" i="25"/>
  <c r="F31" i="25" s="1"/>
  <c r="K110" i="25"/>
  <c r="W110" i="25" s="1"/>
  <c r="W111" i="25" s="1"/>
  <c r="E16" i="25" s="1"/>
  <c r="AB9" i="20" s="1"/>
  <c r="S507" i="2"/>
  <c r="R507" i="2" s="1"/>
  <c r="AF421" i="2"/>
  <c r="N234" i="25"/>
  <c r="N249" i="25" s="1"/>
  <c r="N235" i="25"/>
  <c r="F127" i="25"/>
  <c r="L149" i="25" s="1"/>
  <c r="N236" i="25"/>
  <c r="N251" i="25" s="1"/>
  <c r="R111" i="25"/>
  <c r="R112" i="25" s="1"/>
  <c r="L48" i="20"/>
  <c r="F48" i="20"/>
  <c r="K48" i="20" s="1"/>
  <c r="G12" i="20"/>
  <c r="L12" i="20" s="1"/>
  <c r="N210" i="25"/>
  <c r="Z210" i="25" s="1"/>
  <c r="AL210" i="25" s="1"/>
  <c r="N225" i="25"/>
  <c r="U224" i="25"/>
  <c r="U226" i="25" s="1"/>
  <c r="AG209" i="25"/>
  <c r="I12" i="21"/>
  <c r="L10" i="20"/>
  <c r="N232" i="25"/>
  <c r="N247" i="25" s="1"/>
  <c r="S98" i="25"/>
  <c r="AE76" i="25"/>
  <c r="E119" i="25"/>
  <c r="AC89" i="25"/>
  <c r="O237" i="25"/>
  <c r="O252" i="25" s="1"/>
  <c r="Z516" i="2"/>
  <c r="S506" i="2"/>
  <c r="S89" i="25"/>
  <c r="M88" i="25" s="1"/>
  <c r="Y88" i="25" s="1"/>
  <c r="AE86" i="25"/>
  <c r="S108" i="25"/>
  <c r="S109" i="25"/>
  <c r="AE87" i="25"/>
  <c r="U211" i="25"/>
  <c r="O210" i="25" s="1"/>
  <c r="AA210" i="25" s="1"/>
  <c r="AM210" i="25" s="1"/>
  <c r="K24" i="20"/>
  <c r="F6" i="20"/>
  <c r="M134" i="23"/>
  <c r="T134" i="23"/>
  <c r="T133" i="23"/>
  <c r="M133" i="23"/>
  <c r="L88" i="25"/>
  <c r="X88" i="25" s="1"/>
  <c r="L110" i="25"/>
  <c r="O232" i="25"/>
  <c r="O247" i="25" s="1"/>
  <c r="M132" i="23"/>
  <c r="T132" i="23"/>
  <c r="M246" i="25"/>
  <c r="M256" i="25" s="1"/>
  <c r="M241" i="25"/>
  <c r="T138" i="23"/>
  <c r="M138" i="23"/>
  <c r="T130" i="23"/>
  <c r="M130" i="23"/>
  <c r="AM201" i="25"/>
  <c r="AA216" i="25"/>
  <c r="AI88" i="25"/>
  <c r="W89" i="25"/>
  <c r="E28" i="25" s="1"/>
  <c r="T139" i="23"/>
  <c r="M139" i="23"/>
  <c r="M140" i="23"/>
  <c r="T140" i="23"/>
  <c r="G241" i="25"/>
  <c r="I8" i="21"/>
  <c r="L6" i="20"/>
  <c r="S508" i="2"/>
  <c r="H233" i="25"/>
  <c r="AD89" i="25"/>
  <c r="F120" i="25"/>
  <c r="T129" i="23"/>
  <c r="M129" i="23"/>
  <c r="M131" i="23"/>
  <c r="T131" i="23"/>
  <c r="E127" i="25"/>
  <c r="K149" i="25" s="1"/>
  <c r="AO518" i="2"/>
  <c r="AO561" i="2" s="1"/>
  <c r="G53" i="20" s="1"/>
  <c r="AH518" i="2"/>
  <c r="K47" i="20"/>
  <c r="F11" i="20"/>
  <c r="O236" i="25"/>
  <c r="O251" i="25" s="1"/>
  <c r="AL201" i="25"/>
  <c r="Z216" i="25"/>
  <c r="Q111" i="25"/>
  <c r="Q112" i="25" s="1"/>
  <c r="R365" i="2"/>
  <c r="R421" i="2" s="1"/>
  <c r="G19" i="21"/>
  <c r="J17" i="20"/>
  <c r="T224" i="25"/>
  <c r="T226" i="25" s="1"/>
  <c r="T227" i="25" s="1"/>
  <c r="AF209" i="25"/>
  <c r="AF211" i="25" s="1"/>
  <c r="K28" i="20"/>
  <c r="F10" i="20"/>
  <c r="I233" i="25"/>
  <c r="E24" i="21"/>
  <c r="E22" i="21"/>
  <c r="T18" i="21" s="1"/>
  <c r="E23" i="21"/>
  <c r="E28" i="21"/>
  <c r="E29" i="21" s="1"/>
  <c r="N237" i="25"/>
  <c r="N252" i="25" s="1"/>
  <c r="M137" i="23"/>
  <c r="T137" i="23"/>
  <c r="S509" i="2"/>
  <c r="AH517" i="2"/>
  <c r="AD505" i="2"/>
  <c r="M100" i="23"/>
  <c r="T100" i="23"/>
  <c r="AF455" i="2"/>
  <c r="AF476" i="2" s="1"/>
  <c r="J76" i="20"/>
  <c r="G14" i="21"/>
  <c r="J12" i="20"/>
  <c r="K30" i="20"/>
  <c r="M136" i="23"/>
  <c r="T136" i="23"/>
  <c r="F9" i="21"/>
  <c r="I7" i="20"/>
  <c r="D18" i="20"/>
  <c r="D20" i="20"/>
  <c r="AD499" i="2"/>
  <c r="AC503" i="2"/>
  <c r="AD503" i="2" s="1"/>
  <c r="AH503" i="2" s="1"/>
  <c r="AC491" i="2"/>
  <c r="AD491" i="2" s="1"/>
  <c r="AH491" i="2" s="1"/>
  <c r="AD487" i="2"/>
  <c r="T118" i="23"/>
  <c r="M118" i="23"/>
  <c r="L65" i="20"/>
  <c r="F65" i="20"/>
  <c r="T126" i="23"/>
  <c r="M126" i="23"/>
  <c r="AK54" i="20"/>
  <c r="AH29" i="21"/>
  <c r="AH30" i="21" s="1"/>
  <c r="N343" i="25"/>
  <c r="N338" i="25"/>
  <c r="O343" i="25"/>
  <c r="O346" i="25" s="1"/>
  <c r="I330" i="25"/>
  <c r="H330" i="25"/>
  <c r="G25" i="20" l="1"/>
  <c r="BT59" i="2"/>
  <c r="BW67" i="2"/>
  <c r="CE67" i="2" s="1"/>
  <c r="CE76" i="2" s="1"/>
  <c r="T24" i="21"/>
  <c r="T34" i="21" s="1"/>
  <c r="T20" i="21"/>
  <c r="T21" i="21" s="1"/>
  <c r="T23" i="21" s="1"/>
  <c r="E43" i="20"/>
  <c r="E7" i="20" s="1"/>
  <c r="BT66" i="2"/>
  <c r="G13" i="21"/>
  <c r="J11" i="20"/>
  <c r="G30" i="21"/>
  <c r="O16" i="21"/>
  <c r="O17" i="21" s="1"/>
  <c r="O18" i="21" s="1"/>
  <c r="O23" i="21" s="1"/>
  <c r="I13" i="21"/>
  <c r="G16" i="21"/>
  <c r="G28" i="21" s="1"/>
  <c r="E20" i="20"/>
  <c r="J50" i="20"/>
  <c r="AD421" i="2"/>
  <c r="E86" i="20" s="1"/>
  <c r="J86" i="20" s="1"/>
  <c r="AE53" i="20"/>
  <c r="AJ53" i="20" s="1"/>
  <c r="AH459" i="2"/>
  <c r="AH476" i="2" s="1"/>
  <c r="G32" i="20" s="1"/>
  <c r="G36" i="20" s="1"/>
  <c r="L36" i="20" s="1"/>
  <c r="L9" i="20"/>
  <c r="F12" i="20"/>
  <c r="K12" i="20" s="1"/>
  <c r="G9" i="21"/>
  <c r="E18" i="20"/>
  <c r="G20" i="21" s="1"/>
  <c r="J43" i="20"/>
  <c r="F9" i="20"/>
  <c r="H11" i="21" s="1"/>
  <c r="J7" i="20"/>
  <c r="E54" i="20"/>
  <c r="J54" i="20" s="1"/>
  <c r="L151" i="25"/>
  <c r="N250" i="25"/>
  <c r="T507" i="2"/>
  <c r="I63" i="25" s="1"/>
  <c r="U87" i="25" s="1"/>
  <c r="Z211" i="25"/>
  <c r="I14" i="21"/>
  <c r="I27" i="21" s="1"/>
  <c r="I31" i="21" s="1"/>
  <c r="I239" i="25"/>
  <c r="O254" i="25" s="1"/>
  <c r="N231" i="25"/>
  <c r="N246" i="25" s="1"/>
  <c r="G128" i="25"/>
  <c r="M150" i="25" s="1"/>
  <c r="H13" i="21"/>
  <c r="K11" i="20"/>
  <c r="K132" i="25"/>
  <c r="AI89" i="25"/>
  <c r="E15" i="25" s="1"/>
  <c r="AJ88" i="25"/>
  <c r="X89" i="25"/>
  <c r="F28" i="25" s="1"/>
  <c r="AK88" i="25"/>
  <c r="Y89" i="25"/>
  <c r="G28" i="25" s="1"/>
  <c r="AL211" i="25"/>
  <c r="H18" i="25" s="1"/>
  <c r="R509" i="2"/>
  <c r="T509" i="2"/>
  <c r="I65" i="25" s="1"/>
  <c r="O225" i="25"/>
  <c r="AA225" i="25" s="1"/>
  <c r="AA226" i="25" s="1"/>
  <c r="U227" i="25"/>
  <c r="AA211" i="25"/>
  <c r="H30" i="25" s="1"/>
  <c r="N248" i="25"/>
  <c r="K6" i="20"/>
  <c r="H8" i="21"/>
  <c r="S505" i="2"/>
  <c r="T506" i="2"/>
  <c r="I62" i="25" s="1"/>
  <c r="R506" i="2"/>
  <c r="K151" i="25"/>
  <c r="K141" i="25"/>
  <c r="E133" i="25"/>
  <c r="H239" i="25"/>
  <c r="N254" i="25" s="1"/>
  <c r="O250" i="25"/>
  <c r="L142" i="25"/>
  <c r="F133" i="25"/>
  <c r="R508" i="2"/>
  <c r="T508" i="2"/>
  <c r="I64" i="25" s="1"/>
  <c r="W112" i="25"/>
  <c r="E29" i="25" s="1"/>
  <c r="E34" i="25" s="1"/>
  <c r="S111" i="25"/>
  <c r="S112" i="25" s="1"/>
  <c r="M110" i="25"/>
  <c r="Y110" i="25" s="1"/>
  <c r="Y111" i="25" s="1"/>
  <c r="O248" i="25"/>
  <c r="K10" i="20"/>
  <c r="H12" i="21"/>
  <c r="AG211" i="25"/>
  <c r="G17" i="20"/>
  <c r="L53" i="20"/>
  <c r="F53" i="20"/>
  <c r="AM211" i="25"/>
  <c r="O231" i="25"/>
  <c r="AB23" i="20"/>
  <c r="AG23" i="20" s="1"/>
  <c r="AG9" i="20"/>
  <c r="AB37" i="20"/>
  <c r="X110" i="25"/>
  <c r="X111" i="25" s="1"/>
  <c r="AE89" i="25"/>
  <c r="G127" i="25"/>
  <c r="M149" i="25" s="1"/>
  <c r="G120" i="25"/>
  <c r="Z225" i="25"/>
  <c r="Z226" i="25" s="1"/>
  <c r="AF487" i="2"/>
  <c r="AD481" i="2"/>
  <c r="G77" i="20" s="1"/>
  <c r="G76" i="20"/>
  <c r="AH561" i="2"/>
  <c r="G50" i="20" s="1"/>
  <c r="AF499" i="2"/>
  <c r="AD493" i="2"/>
  <c r="G78" i="20" s="1"/>
  <c r="F20" i="21"/>
  <c r="D19" i="20"/>
  <c r="I18" i="20"/>
  <c r="G27" i="21"/>
  <c r="G31" i="21" s="1"/>
  <c r="G21" i="21"/>
  <c r="V8" i="21" s="1"/>
  <c r="K65" i="20"/>
  <c r="G66" i="20"/>
  <c r="AD476" i="2"/>
  <c r="G70" i="20" s="1"/>
  <c r="L70" i="20" s="1"/>
  <c r="F25" i="20"/>
  <c r="L25" i="20"/>
  <c r="N346" i="25"/>
  <c r="CB66" i="2" l="1"/>
  <c r="CB75" i="2" s="1"/>
  <c r="CB59" i="2"/>
  <c r="BT58" i="2"/>
  <c r="CB58" i="2" s="1"/>
  <c r="V14" i="21"/>
  <c r="V10" i="21"/>
  <c r="V11" i="21" s="1"/>
  <c r="V13" i="21" s="1"/>
  <c r="V33" i="21" s="1"/>
  <c r="G29" i="21"/>
  <c r="G24" i="21"/>
  <c r="G23" i="21"/>
  <c r="G22" i="21"/>
  <c r="V18" i="21" s="1"/>
  <c r="H14" i="21"/>
  <c r="H27" i="21" s="1"/>
  <c r="H31" i="21" s="1"/>
  <c r="J18" i="20"/>
  <c r="F32" i="20"/>
  <c r="K32" i="20" s="1"/>
  <c r="L32" i="20"/>
  <c r="AF561" i="2"/>
  <c r="E19" i="20"/>
  <c r="K9" i="20"/>
  <c r="O240" i="25"/>
  <c r="O255" i="25" s="1"/>
  <c r="H63" i="25"/>
  <c r="T87" i="25" s="1"/>
  <c r="AF87" i="25" s="1"/>
  <c r="I21" i="21"/>
  <c r="X8" i="21" s="1"/>
  <c r="I241" i="25"/>
  <c r="E35" i="25"/>
  <c r="AE27" i="21" s="1"/>
  <c r="H241" i="25"/>
  <c r="H19" i="25"/>
  <c r="Z227" i="25"/>
  <c r="K53" i="20"/>
  <c r="F17" i="20"/>
  <c r="N240" i="25"/>
  <c r="M142" i="25"/>
  <c r="G133" i="25"/>
  <c r="X112" i="25"/>
  <c r="F29" i="25" s="1"/>
  <c r="F34" i="25" s="1"/>
  <c r="F16" i="25"/>
  <c r="AC9" i="20" s="1"/>
  <c r="O246" i="25"/>
  <c r="O241" i="25"/>
  <c r="AE12" i="21"/>
  <c r="AE26" i="21"/>
  <c r="U109" i="25"/>
  <c r="AG87" i="25"/>
  <c r="AJ89" i="25"/>
  <c r="F15" i="25" s="1"/>
  <c r="L132" i="25"/>
  <c r="AB52" i="20"/>
  <c r="AG52" i="20" s="1"/>
  <c r="AG37" i="20"/>
  <c r="L17" i="20"/>
  <c r="I19" i="21"/>
  <c r="U76" i="25"/>
  <c r="H64" i="25"/>
  <c r="T76" i="25" s="1"/>
  <c r="R505" i="2"/>
  <c r="R561" i="2" s="1"/>
  <c r="U75" i="25"/>
  <c r="H65" i="25"/>
  <c r="T75" i="25" s="1"/>
  <c r="E22" i="25"/>
  <c r="AB8" i="20"/>
  <c r="Y112" i="25"/>
  <c r="G29" i="25" s="1"/>
  <c r="G34" i="25" s="1"/>
  <c r="G16" i="25"/>
  <c r="AD9" i="20" s="1"/>
  <c r="U86" i="25"/>
  <c r="H62" i="25"/>
  <c r="T86" i="25" s="1"/>
  <c r="AA227" i="25"/>
  <c r="H31" i="25" s="1"/>
  <c r="M132" i="25"/>
  <c r="AK89" i="25"/>
  <c r="G15" i="25" s="1"/>
  <c r="K154" i="25"/>
  <c r="K155" i="25" s="1"/>
  <c r="K133" i="25"/>
  <c r="L77" i="20"/>
  <c r="F77" i="20"/>
  <c r="K77" i="20" s="1"/>
  <c r="L66" i="20"/>
  <c r="F66" i="20"/>
  <c r="AD561" i="2"/>
  <c r="G86" i="20" s="1"/>
  <c r="L86" i="20" s="1"/>
  <c r="K25" i="20"/>
  <c r="L50" i="20"/>
  <c r="F50" i="20"/>
  <c r="G14" i="20"/>
  <c r="L78" i="20"/>
  <c r="F78" i="20"/>
  <c r="K78" i="20" s="1"/>
  <c r="L76" i="20"/>
  <c r="F76" i="20"/>
  <c r="G43" i="20" l="1"/>
  <c r="G7" i="20" s="1"/>
  <c r="BT68" i="2"/>
  <c r="V24" i="21"/>
  <c r="V34" i="21" s="1"/>
  <c r="V20" i="21"/>
  <c r="V21" i="21" s="1"/>
  <c r="V23" i="21" s="1"/>
  <c r="I30" i="21"/>
  <c r="Q16" i="21"/>
  <c r="Q17" i="21" s="1"/>
  <c r="Q18" i="21" s="1"/>
  <c r="Q23" i="21" s="1"/>
  <c r="X10" i="21"/>
  <c r="X11" i="21" s="1"/>
  <c r="X13" i="21" s="1"/>
  <c r="X33" i="21" s="1"/>
  <c r="X14" i="21"/>
  <c r="G54" i="20"/>
  <c r="L54" i="20" s="1"/>
  <c r="H21" i="21"/>
  <c r="W8" i="21" s="1"/>
  <c r="F36" i="20"/>
  <c r="K36" i="20" s="1"/>
  <c r="F43" i="20"/>
  <c r="F7" i="20" s="1"/>
  <c r="K7" i="20" s="1"/>
  <c r="L43" i="20"/>
  <c r="T109" i="25"/>
  <c r="H128" i="25" s="1"/>
  <c r="N150" i="25" s="1"/>
  <c r="O256" i="25"/>
  <c r="AE13" i="21"/>
  <c r="G35" i="25"/>
  <c r="AG13" i="21" s="1"/>
  <c r="I128" i="25"/>
  <c r="O150" i="25" s="1"/>
  <c r="AD8" i="20"/>
  <c r="G22" i="25"/>
  <c r="AG86" i="25"/>
  <c r="U108" i="25"/>
  <c r="AF75" i="25"/>
  <c r="T97" i="25"/>
  <c r="T89" i="25"/>
  <c r="N88" i="25" s="1"/>
  <c r="Z88" i="25" s="1"/>
  <c r="M154" i="25"/>
  <c r="M155" i="25" s="1"/>
  <c r="M133" i="25"/>
  <c r="AI9" i="20"/>
  <c r="AD37" i="20"/>
  <c r="AD23" i="20"/>
  <c r="AI23" i="20" s="1"/>
  <c r="AB22" i="20"/>
  <c r="AB16" i="20"/>
  <c r="AG8" i="20"/>
  <c r="AB36" i="20"/>
  <c r="U89" i="25"/>
  <c r="O88" i="25" s="1"/>
  <c r="AA88" i="25" s="1"/>
  <c r="U97" i="25"/>
  <c r="AG75" i="25"/>
  <c r="T98" i="25"/>
  <c r="AF76" i="25"/>
  <c r="L133" i="25"/>
  <c r="L154" i="25"/>
  <c r="L155" i="25" s="1"/>
  <c r="AC23" i="20"/>
  <c r="AH23" i="20" s="1"/>
  <c r="AH9" i="20"/>
  <c r="AC37" i="20"/>
  <c r="N255" i="25"/>
  <c r="N256" i="25" s="1"/>
  <c r="N241" i="25"/>
  <c r="T108" i="25"/>
  <c r="AF86" i="25"/>
  <c r="K17" i="20"/>
  <c r="H19" i="21"/>
  <c r="AG12" i="21"/>
  <c r="AG19" i="21" s="1"/>
  <c r="AG26" i="21"/>
  <c r="U98" i="25"/>
  <c r="AG76" i="25"/>
  <c r="AC8" i="20"/>
  <c r="F22" i="25"/>
  <c r="F35" i="25"/>
  <c r="AF12" i="21"/>
  <c r="AF19" i="21" s="1"/>
  <c r="AF26" i="21"/>
  <c r="K50" i="20"/>
  <c r="F14" i="20"/>
  <c r="I9" i="21"/>
  <c r="L7" i="20"/>
  <c r="G18" i="20"/>
  <c r="K66" i="20"/>
  <c r="F70" i="20"/>
  <c r="K70" i="20" s="1"/>
  <c r="K76" i="20"/>
  <c r="F86" i="20"/>
  <c r="K86" i="20" s="1"/>
  <c r="G20" i="20"/>
  <c r="L14" i="20"/>
  <c r="I16" i="21"/>
  <c r="CB68" i="2" l="1"/>
  <c r="CB77" i="2" s="1"/>
  <c r="BT67" i="2"/>
  <c r="CB67" i="2" s="1"/>
  <c r="CB76" i="2" s="1"/>
  <c r="H30" i="21"/>
  <c r="P16" i="21"/>
  <c r="P17" i="21" s="1"/>
  <c r="P18" i="21" s="1"/>
  <c r="P23" i="21" s="1"/>
  <c r="W10" i="21"/>
  <c r="W11" i="21" s="1"/>
  <c r="W13" i="21" s="1"/>
  <c r="W33" i="21" s="1"/>
  <c r="W14" i="21"/>
  <c r="F54" i="20"/>
  <c r="K54" i="20" s="1"/>
  <c r="F18" i="20"/>
  <c r="K18" i="20" s="1"/>
  <c r="H9" i="21"/>
  <c r="K43" i="20"/>
  <c r="O110" i="25"/>
  <c r="AA110" i="25" s="1"/>
  <c r="AA111" i="25" s="1"/>
  <c r="I120" i="25"/>
  <c r="O142" i="25" s="1"/>
  <c r="AG27" i="21"/>
  <c r="H120" i="25"/>
  <c r="N142" i="25" s="1"/>
  <c r="U111" i="25"/>
  <c r="U112" i="25" s="1"/>
  <c r="N110" i="25"/>
  <c r="Z110" i="25" s="1"/>
  <c r="Z111" i="25" s="1"/>
  <c r="H16" i="25" s="1"/>
  <c r="AF9" i="20" s="1"/>
  <c r="AC36" i="20"/>
  <c r="AH36" i="20" s="1"/>
  <c r="AC22" i="20"/>
  <c r="AH8" i="20"/>
  <c r="AC16" i="20"/>
  <c r="AH16" i="20" s="1"/>
  <c r="AA89" i="25"/>
  <c r="H28" i="25" s="1"/>
  <c r="AM88" i="25"/>
  <c r="AG22" i="20"/>
  <c r="AB30" i="20"/>
  <c r="AL88" i="25"/>
  <c r="Z89" i="25"/>
  <c r="I127" i="25"/>
  <c r="O149" i="25" s="1"/>
  <c r="AG36" i="20"/>
  <c r="AB51" i="20"/>
  <c r="AB44" i="20"/>
  <c r="T111" i="25"/>
  <c r="T112" i="25" s="1"/>
  <c r="AF27" i="21"/>
  <c r="AF13" i="21"/>
  <c r="H127" i="25"/>
  <c r="N149" i="25" s="1"/>
  <c r="AH37" i="20"/>
  <c r="AC52" i="20"/>
  <c r="AH52" i="20" s="1"/>
  <c r="I119" i="25"/>
  <c r="AG89" i="25"/>
  <c r="AI37" i="20"/>
  <c r="AD52" i="20"/>
  <c r="AI52" i="20" s="1"/>
  <c r="AF89" i="25"/>
  <c r="H119" i="25"/>
  <c r="AD36" i="20"/>
  <c r="AD16" i="20"/>
  <c r="AI16" i="20" s="1"/>
  <c r="AI8" i="20"/>
  <c r="AD22" i="20"/>
  <c r="I28" i="21"/>
  <c r="I29" i="21" s="1"/>
  <c r="I22" i="21"/>
  <c r="X18" i="21" s="1"/>
  <c r="I23" i="21"/>
  <c r="I24" i="21"/>
  <c r="K14" i="20"/>
  <c r="H16" i="21"/>
  <c r="F20" i="20"/>
  <c r="G19" i="20"/>
  <c r="L18" i="20"/>
  <c r="I20" i="21"/>
  <c r="X20" i="21" l="1"/>
  <c r="X21" i="21" s="1"/>
  <c r="X23" i="21" s="1"/>
  <c r="X24" i="21"/>
  <c r="X34" i="21" s="1"/>
  <c r="F19" i="20"/>
  <c r="H20" i="21"/>
  <c r="Z112" i="25"/>
  <c r="AA112" i="25"/>
  <c r="H29" i="25" s="1"/>
  <c r="H34" i="25" s="1"/>
  <c r="AH12" i="21" s="1"/>
  <c r="AH19" i="21" s="1"/>
  <c r="AD30" i="20"/>
  <c r="AI30" i="20" s="1"/>
  <c r="AI22" i="20"/>
  <c r="H133" i="25"/>
  <c r="N151" i="25"/>
  <c r="N141" i="25"/>
  <c r="O151" i="25"/>
  <c r="I133" i="25"/>
  <c r="O141" i="25"/>
  <c r="AM89" i="25"/>
  <c r="O132" i="25"/>
  <c r="AH22" i="20"/>
  <c r="AC30" i="20"/>
  <c r="AH30" i="20" s="1"/>
  <c r="AD44" i="20"/>
  <c r="AI44" i="20" s="1"/>
  <c r="AI36" i="20"/>
  <c r="AD51" i="20"/>
  <c r="AB59" i="20"/>
  <c r="AG51" i="20"/>
  <c r="AF37" i="20"/>
  <c r="AF23" i="20"/>
  <c r="AK23" i="20" s="1"/>
  <c r="AE9" i="20"/>
  <c r="AK9" i="20"/>
  <c r="N132" i="25"/>
  <c r="AL89" i="25"/>
  <c r="H15" i="25" s="1"/>
  <c r="AC51" i="20"/>
  <c r="AC44" i="20"/>
  <c r="AH44" i="20" s="1"/>
  <c r="H28" i="21"/>
  <c r="H29" i="21" s="1"/>
  <c r="H22" i="21"/>
  <c r="W18" i="21" s="1"/>
  <c r="H23" i="21"/>
  <c r="H24" i="21"/>
  <c r="W24" i="21" l="1"/>
  <c r="W34" i="21" s="1"/>
  <c r="W20" i="21"/>
  <c r="W21" i="21" s="1"/>
  <c r="W23" i="21" s="1"/>
  <c r="AH26" i="21"/>
  <c r="H35" i="25"/>
  <c r="AH13" i="21" s="1"/>
  <c r="N133" i="25"/>
  <c r="N154" i="25"/>
  <c r="N155" i="25" s="1"/>
  <c r="AF52" i="20"/>
  <c r="AK52" i="20" s="1"/>
  <c r="AK37" i="20"/>
  <c r="O133" i="25"/>
  <c r="O154" i="25"/>
  <c r="O155" i="25" s="1"/>
  <c r="AH51" i="20"/>
  <c r="AC59" i="20"/>
  <c r="AH59" i="20" s="1"/>
  <c r="AJ9" i="20"/>
  <c r="AE37" i="20"/>
  <c r="AE23" i="20"/>
  <c r="AJ23" i="20" s="1"/>
  <c r="AF8" i="20"/>
  <c r="H22" i="25"/>
  <c r="AD59" i="20"/>
  <c r="AI59" i="20" s="1"/>
  <c r="AI51" i="20"/>
  <c r="AH27" i="21" l="1"/>
  <c r="AJ37" i="20"/>
  <c r="AE52" i="20"/>
  <c r="AJ52" i="20" s="1"/>
  <c r="AF22" i="20"/>
  <c r="AF36" i="20"/>
  <c r="AK8" i="20"/>
  <c r="AF16" i="20"/>
  <c r="AK16" i="20" s="1"/>
  <c r="AE8" i="20"/>
  <c r="AF51" i="20" l="1"/>
  <c r="AF44" i="20"/>
  <c r="AK44" i="20" s="1"/>
  <c r="AK36" i="20"/>
  <c r="AE36" i="20"/>
  <c r="AJ8" i="20"/>
  <c r="AE16" i="20"/>
  <c r="AJ16" i="20" s="1"/>
  <c r="AE22" i="20"/>
  <c r="AF30" i="20"/>
  <c r="AK30" i="20" s="1"/>
  <c r="AK22" i="20"/>
  <c r="AJ36" i="20" l="1"/>
  <c r="AE44" i="20"/>
  <c r="AJ44" i="20" s="1"/>
  <c r="AE51" i="20"/>
  <c r="AE30" i="20"/>
  <c r="AJ30" i="20" s="1"/>
  <c r="AJ22" i="20"/>
  <c r="AK51" i="20"/>
  <c r="AF59" i="20"/>
  <c r="AK59" i="20" s="1"/>
  <c r="AE59" i="20" l="1"/>
  <c r="AJ59" i="20" s="1"/>
  <c r="AJ51" i="20"/>
</calcChain>
</file>

<file path=xl/comments1.xml><?xml version="1.0" encoding="utf-8"?>
<comments xmlns="http://schemas.openxmlformats.org/spreadsheetml/2006/main">
  <authors>
    <author>Author</author>
  </authors>
  <commentList>
    <comment ref="B20" authorId="0" shapeId="0">
      <text>
        <r>
          <rPr>
            <b/>
            <sz val="9"/>
            <color indexed="81"/>
            <rFont val="Tahoma"/>
            <family val="2"/>
          </rPr>
          <t>Author:</t>
        </r>
        <r>
          <rPr>
            <sz val="9"/>
            <color indexed="81"/>
            <rFont val="Tahoma"/>
            <family val="2"/>
          </rPr>
          <t xml:space="preserve">
Included 2,5 counting of electricity for vehicles and not taking into account the posibility of double counting 2G Bio-DME/methanol. Also excluding counting in RE in aviation and sea, which is posible in the EU definition.</t>
        </r>
      </text>
    </comment>
  </commentList>
</comments>
</file>

<file path=xl/comments2.xml><?xml version="1.0" encoding="utf-8"?>
<comments xmlns="http://schemas.openxmlformats.org/spreadsheetml/2006/main">
  <authors>
    <author>Author</author>
  </authors>
  <commentList>
    <comment ref="D4" authorId="0" shapeId="0">
      <text>
        <r>
          <rPr>
            <b/>
            <sz val="9"/>
            <color indexed="81"/>
            <rFont val="Tahoma"/>
            <family val="2"/>
          </rPr>
          <t>Author:</t>
        </r>
        <r>
          <rPr>
            <sz val="9"/>
            <color indexed="81"/>
            <rFont val="Tahoma"/>
            <family val="2"/>
          </rPr>
          <t xml:space="preserve">
Statbank 2009 data assumed valid for 2010</t>
        </r>
      </text>
    </comment>
    <comment ref="K4" authorId="0" shapeId="0">
      <text>
        <r>
          <rPr>
            <b/>
            <sz val="9"/>
            <color indexed="81"/>
            <rFont val="Tahoma"/>
            <family val="2"/>
          </rPr>
          <t>Author:</t>
        </r>
        <r>
          <rPr>
            <sz val="9"/>
            <color indexed="81"/>
            <rFont val="Tahoma"/>
            <family val="2"/>
          </rPr>
          <t xml:space="preserve">
This label does not copy down through the talbes below due to an error in Excel. Hence, it must be changed manually in the other tables also.</t>
        </r>
      </text>
    </comment>
    <comment ref="W4" authorId="0" shapeId="0">
      <text>
        <r>
          <rPr>
            <b/>
            <sz val="9"/>
            <color indexed="81"/>
            <rFont val="Tahoma"/>
            <family val="2"/>
          </rPr>
          <t>Author:</t>
        </r>
        <r>
          <rPr>
            <sz val="9"/>
            <color indexed="81"/>
            <rFont val="Tahoma"/>
            <family val="2"/>
          </rPr>
          <t xml:space="preserve">
CO2-emissions are calculated here in order to enable comparison with reports and policies refereing to g CO2/km as an indicator of efficiency improvements.</t>
        </r>
      </text>
    </comment>
    <comment ref="X4"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4" authorId="0" shapeId="0">
      <text>
        <r>
          <rPr>
            <b/>
            <sz val="9"/>
            <color indexed="81"/>
            <rFont val="Tahoma"/>
            <family val="2"/>
          </rPr>
          <t>Author:</t>
        </r>
        <r>
          <rPr>
            <sz val="9"/>
            <color indexed="81"/>
            <rFont val="Tahoma"/>
            <family val="2"/>
          </rPr>
          <t xml:space="preserve">
Total fuel to wheel efficiency of the vehicle in different formats.</t>
        </r>
      </text>
    </comment>
    <comment ref="AC4" authorId="0" shapeId="0">
      <text>
        <r>
          <rPr>
            <b/>
            <sz val="9"/>
            <color indexed="81"/>
            <rFont val="Tahoma"/>
            <family val="2"/>
          </rPr>
          <t>Author:</t>
        </r>
        <r>
          <rPr>
            <sz val="9"/>
            <color indexed="81"/>
            <rFont val="Tahoma"/>
            <family val="2"/>
          </rPr>
          <t xml:space="preserve">
Dependent on the utilization of the vehicle.</t>
        </r>
      </text>
    </comment>
    <comment ref="X5" authorId="0" shapeId="0">
      <text>
        <r>
          <rPr>
            <b/>
            <sz val="9"/>
            <color indexed="81"/>
            <rFont val="Tahoma"/>
            <family val="2"/>
          </rPr>
          <t>Author:</t>
        </r>
        <r>
          <rPr>
            <sz val="9"/>
            <color indexed="81"/>
            <rFont val="Tahoma"/>
            <family val="2"/>
          </rPr>
          <t xml:space="preserve">
Mechanical energy required to move the vehicle.</t>
        </r>
      </text>
    </comment>
    <comment ref="Y5" authorId="0" shapeId="0">
      <text>
        <r>
          <rPr>
            <b/>
            <sz val="9"/>
            <color indexed="81"/>
            <rFont val="Tahoma"/>
            <family val="2"/>
          </rPr>
          <t>Author:</t>
        </r>
        <r>
          <rPr>
            <sz val="9"/>
            <color indexed="81"/>
            <rFont val="Tahoma"/>
            <family val="2"/>
          </rPr>
          <t xml:space="preserve">
Amount of mechanical  energy required pr. input of fuel
 </t>
        </r>
      </text>
    </comment>
    <comment ref="Z5" authorId="0" shapeId="0">
      <text>
        <r>
          <rPr>
            <b/>
            <sz val="9"/>
            <color indexed="81"/>
            <rFont val="Tahoma"/>
            <family val="2"/>
          </rPr>
          <t>Author:</t>
        </r>
        <r>
          <rPr>
            <sz val="9"/>
            <color indexed="81"/>
            <rFont val="Tahoma"/>
            <family val="2"/>
          </rPr>
          <t xml:space="preserve">
km/liter are calculated here in order to enable comparison with reports and policies refereing to km/liter as an indicator of efficiency improvements.</t>
        </r>
      </text>
    </comment>
    <comment ref="C6" authorId="0" shapeId="0">
      <text>
        <r>
          <rPr>
            <b/>
            <sz val="12"/>
            <color indexed="81"/>
            <rFont val="Tahoma"/>
            <family val="2"/>
          </rPr>
          <t>Author:</t>
        </r>
        <r>
          <rPr>
            <sz val="12"/>
            <color indexed="81"/>
            <rFont val="Tahoma"/>
            <family val="2"/>
          </rPr>
          <t xml:space="preserve">
Den internationale del er inkluderet heri og udgør ca 4% af totalen.</t>
        </r>
      </text>
    </comment>
    <comment ref="M6" authorId="0" shapeId="0">
      <text>
        <r>
          <rPr>
            <sz val="9"/>
            <color indexed="81"/>
            <rFont val="Tahoma"/>
            <family val="2"/>
          </rPr>
          <t>The sum should be about 92900 TJ accorcing to the energy statistics</t>
        </r>
      </text>
    </comment>
    <comment ref="T6" authorId="0" shapeId="0">
      <text>
        <r>
          <rPr>
            <b/>
            <sz val="9"/>
            <color indexed="81"/>
            <rFont val="Tahoma"/>
            <family val="2"/>
          </rPr>
          <t>Author:</t>
        </r>
        <r>
          <rPr>
            <sz val="9"/>
            <color indexed="81"/>
            <rFont val="Tahoma"/>
            <family val="2"/>
          </rPr>
          <t xml:space="preserve">
Total no of vehilces from statistics Denmark
</t>
        </r>
      </text>
    </comment>
    <comment ref="BA6"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C7" authorId="0" shapeId="0">
      <text>
        <r>
          <rPr>
            <b/>
            <sz val="9"/>
            <color indexed="81"/>
            <rFont val="Tahoma"/>
            <family val="2"/>
          </rPr>
          <t>Author:</t>
        </r>
        <r>
          <rPr>
            <sz val="9"/>
            <color indexed="81"/>
            <rFont val="Tahoma"/>
            <family val="2"/>
          </rPr>
          <t xml:space="preserve">
Ratios are based on surveys.</t>
        </r>
      </text>
    </comment>
    <comment ref="S7" authorId="0" shapeId="0">
      <text>
        <r>
          <rPr>
            <b/>
            <sz val="9"/>
            <color indexed="81"/>
            <rFont val="Tahoma"/>
            <family val="2"/>
          </rPr>
          <t>Author:</t>
        </r>
        <r>
          <rPr>
            <sz val="9"/>
            <color indexed="81"/>
            <rFont val="Tahoma"/>
            <family val="2"/>
          </rPr>
          <t xml:space="preserve">
Calculated using efficiencies of petrol/diesel vans</t>
        </r>
      </text>
    </comment>
    <comment ref="BA7"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AB8" authorId="0" shapeId="0">
      <text>
        <r>
          <rPr>
            <b/>
            <sz val="9"/>
            <color indexed="81"/>
            <rFont val="Tahoma"/>
            <family val="2"/>
          </rPr>
          <t>Author:</t>
        </r>
        <r>
          <rPr>
            <sz val="9"/>
            <color indexed="81"/>
            <rFont val="Tahoma"/>
            <family val="2"/>
          </rPr>
          <t xml:space="preserve">
Based on new vhicles in 2006/DEA - statistics say 18,4 l/km
21,4 l/km is the level for new vehicles in 2010</t>
        </r>
      </text>
    </comment>
    <comment ref="X9" authorId="0" shapeId="0">
      <text>
        <r>
          <rPr>
            <b/>
            <sz val="9"/>
            <color indexed="81"/>
            <rFont val="Tahoma"/>
            <family val="2"/>
          </rPr>
          <t>Author:</t>
        </r>
        <r>
          <rPr>
            <sz val="9"/>
            <color indexed="81"/>
            <rFont val="Tahoma"/>
            <family val="2"/>
          </rPr>
          <t xml:space="preserve">
Assummed identicle with reg. Diesel vehicle
</t>
        </r>
      </text>
    </comment>
    <comment ref="AA9"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BA9"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V10" authorId="0" shapeId="0">
      <text>
        <r>
          <rPr>
            <b/>
            <sz val="9"/>
            <color indexed="81"/>
            <rFont val="Tahoma"/>
            <family val="2"/>
          </rPr>
          <t>Author:</t>
        </r>
        <r>
          <rPr>
            <sz val="9"/>
            <color indexed="81"/>
            <rFont val="Tahoma"/>
            <family val="2"/>
          </rPr>
          <t xml:space="preserve">
Technology unavailable in 2010.
</t>
        </r>
      </text>
    </comment>
    <comment ref="X10" authorId="0" shapeId="0">
      <text>
        <r>
          <rPr>
            <b/>
            <sz val="9"/>
            <color indexed="81"/>
            <rFont val="Tahoma"/>
            <family val="2"/>
          </rPr>
          <t>Author:</t>
        </r>
        <r>
          <rPr>
            <sz val="9"/>
            <color indexed="81"/>
            <rFont val="Tahoma"/>
            <family val="2"/>
          </rPr>
          <t xml:space="preserve">
Assummed identicle with reg. Diesel vehicle
</t>
        </r>
      </text>
    </comment>
    <comment ref="BA10"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AT11" authorId="0" shapeId="0">
      <text>
        <r>
          <rPr>
            <b/>
            <sz val="9"/>
            <color indexed="81"/>
            <rFont val="Tahoma"/>
            <family val="2"/>
          </rPr>
          <t>Author:</t>
        </r>
        <r>
          <rPr>
            <sz val="9"/>
            <color indexed="81"/>
            <rFont val="Tahoma"/>
            <family val="2"/>
          </rPr>
          <t xml:space="preserve">
Additional improvements can be made for each technology under each year.</t>
        </r>
      </text>
    </comment>
    <comment ref="BA11" authorId="0" shapeId="0">
      <text>
        <r>
          <rPr>
            <b/>
            <sz val="9"/>
            <color indexed="81"/>
            <rFont val="Tahoma"/>
            <family val="2"/>
          </rPr>
          <t>Author:</t>
        </r>
        <r>
          <rPr>
            <sz val="9"/>
            <color indexed="81"/>
            <rFont val="Tahoma"/>
            <family val="2"/>
          </rPr>
          <t xml:space="preserve">
Please note that if the growth in longer distiances is higher than other shorter distrinces this also has an effect on the overall efficiency of trucks.
</t>
        </r>
      </text>
    </comment>
    <comment ref="AB12" authorId="0" shapeId="0">
      <text>
        <r>
          <rPr>
            <b/>
            <sz val="9"/>
            <color indexed="81"/>
            <rFont val="Tahoma"/>
            <family val="2"/>
          </rPr>
          <t>Author:</t>
        </r>
        <r>
          <rPr>
            <sz val="9"/>
            <color indexed="81"/>
            <rFont val="Tahoma"/>
            <family val="2"/>
          </rPr>
          <t xml:space="preserve">
Based on new vhicles in 2006/DEA
18,1 l/km is the level for new vehicles in 2010</t>
        </r>
      </text>
    </comment>
    <comment ref="X15" authorId="0" shapeId="0">
      <text>
        <r>
          <rPr>
            <b/>
            <sz val="9"/>
            <color indexed="81"/>
            <rFont val="Tahoma"/>
            <family val="2"/>
          </rPr>
          <t>Author:</t>
        </r>
        <r>
          <rPr>
            <sz val="9"/>
            <color indexed="81"/>
            <rFont val="Tahoma"/>
            <family val="2"/>
          </rPr>
          <t xml:space="preserve">
Assummed identicle with reg. Diesel vehicle
</t>
        </r>
      </text>
    </comment>
    <comment ref="AA15"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V16" authorId="0" shapeId="0">
      <text>
        <r>
          <rPr>
            <b/>
            <sz val="9"/>
            <color indexed="81"/>
            <rFont val="Tahoma"/>
            <family val="2"/>
          </rPr>
          <t>Author:</t>
        </r>
        <r>
          <rPr>
            <sz val="9"/>
            <color indexed="81"/>
            <rFont val="Tahoma"/>
            <family val="2"/>
          </rPr>
          <t xml:space="preserve">
Technology unavailable in 2010.
</t>
        </r>
      </text>
    </comment>
    <comment ref="X16" authorId="0" shapeId="0">
      <text>
        <r>
          <rPr>
            <b/>
            <sz val="9"/>
            <color indexed="81"/>
            <rFont val="Tahoma"/>
            <family val="2"/>
          </rPr>
          <t>Author:</t>
        </r>
        <r>
          <rPr>
            <sz val="9"/>
            <color indexed="81"/>
            <rFont val="Tahoma"/>
            <family val="2"/>
          </rPr>
          <t xml:space="preserve">
Assummed identicle with reg. Diesel vehicle
</t>
        </r>
      </text>
    </comment>
    <comment ref="V20" authorId="0" shapeId="0">
      <text>
        <r>
          <rPr>
            <b/>
            <sz val="9"/>
            <color indexed="81"/>
            <rFont val="Tahoma"/>
            <family val="2"/>
          </rPr>
          <t>Author:</t>
        </r>
        <r>
          <rPr>
            <sz val="9"/>
            <color indexed="81"/>
            <rFont val="Tahoma"/>
            <family val="2"/>
          </rPr>
          <t xml:space="preserve">
Technology unavailable in 2010.
</t>
        </r>
      </text>
    </comment>
    <comment ref="X20"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V21" authorId="0" shapeId="0">
      <text>
        <r>
          <rPr>
            <b/>
            <sz val="9"/>
            <color indexed="81"/>
            <rFont val="Tahoma"/>
            <family val="2"/>
          </rPr>
          <t>Author:</t>
        </r>
        <r>
          <rPr>
            <sz val="9"/>
            <color indexed="81"/>
            <rFont val="Tahoma"/>
            <family val="2"/>
          </rPr>
          <t xml:space="preserve">
Technology unavailable in 2010.
</t>
        </r>
      </text>
    </comment>
    <comment ref="X21"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23" authorId="0" shapeId="0">
      <text>
        <r>
          <rPr>
            <b/>
            <sz val="9"/>
            <color indexed="81"/>
            <rFont val="Tahoma"/>
            <family val="2"/>
          </rPr>
          <t>Author:</t>
        </r>
        <r>
          <rPr>
            <sz val="9"/>
            <color indexed="81"/>
            <rFont val="Tahoma"/>
            <family val="2"/>
          </rPr>
          <t xml:space="preserve">
Calculeted using  distribution between petrol and diesel</t>
        </r>
      </text>
    </comment>
    <comment ref="AB23" authorId="0" shapeId="0">
      <text>
        <r>
          <rPr>
            <b/>
            <sz val="9"/>
            <color indexed="81"/>
            <rFont val="Tahoma"/>
            <family val="2"/>
          </rPr>
          <t>Author:</t>
        </r>
        <r>
          <rPr>
            <sz val="9"/>
            <color indexed="81"/>
            <rFont val="Tahoma"/>
            <family val="2"/>
          </rPr>
          <t xml:space="preserve">
Calculated based on statistics on energy and transport for 2010.</t>
        </r>
      </text>
    </comment>
    <comment ref="AR23" authorId="0" shapeId="0">
      <text>
        <r>
          <rPr>
            <b/>
            <sz val="9"/>
            <color indexed="81"/>
            <rFont val="Tahoma"/>
            <family val="2"/>
          </rPr>
          <t>Author:</t>
        </r>
        <r>
          <rPr>
            <sz val="9"/>
            <color indexed="81"/>
            <rFont val="Tahoma"/>
            <family val="2"/>
          </rPr>
          <t xml:space="preserve">
Total no of vehilces from statistics Denmark
</t>
        </r>
      </text>
    </comment>
    <comment ref="T24" authorId="0" shapeId="0">
      <text>
        <r>
          <rPr>
            <b/>
            <sz val="9"/>
            <color indexed="81"/>
            <rFont val="Tahoma"/>
            <family val="2"/>
          </rPr>
          <t>Author:</t>
        </r>
        <r>
          <rPr>
            <sz val="9"/>
            <color indexed="81"/>
            <rFont val="Tahoma"/>
            <family val="2"/>
          </rPr>
          <t xml:space="preserve">
Assumed all to be two IC3 trains (302 passengers)
. Number calculated based on Statistics Denmark 2010 on the total nr. of seats incl. S-train and metro.
</t>
        </r>
      </text>
    </comment>
    <comment ref="C26" authorId="0" shapeId="0">
      <text>
        <r>
          <rPr>
            <b/>
            <sz val="9"/>
            <color indexed="81"/>
            <rFont val="Tahoma"/>
            <family val="2"/>
          </rPr>
          <t>Author:</t>
        </r>
        <r>
          <rPr>
            <sz val="9"/>
            <color indexed="81"/>
            <rFont val="Tahoma"/>
            <family val="2"/>
          </rPr>
          <t xml:space="preserve">
Fordeling er udarbejdet med udgangspunkt i DSB´s materiel (se data input side)</t>
        </r>
      </text>
    </comment>
    <comment ref="AR29" authorId="0" shapeId="0">
      <text>
        <r>
          <rPr>
            <b/>
            <sz val="9"/>
            <color indexed="81"/>
            <rFont val="Tahoma"/>
            <family val="2"/>
          </rPr>
          <t>Author:</t>
        </r>
        <r>
          <rPr>
            <sz val="9"/>
            <color indexed="81"/>
            <rFont val="Tahoma"/>
            <family val="2"/>
          </rPr>
          <t xml:space="preserve">
Assumed all to be two IC3 trains (302 passengers)
. Number calculated based on Statistics Denmark 2010.</t>
        </r>
      </text>
    </comment>
    <comment ref="T30" authorId="0" shapeId="0">
      <text>
        <r>
          <rPr>
            <b/>
            <sz val="9"/>
            <color indexed="81"/>
            <rFont val="Tahoma"/>
            <family val="2"/>
          </rPr>
          <t>Author:</t>
        </r>
        <r>
          <rPr>
            <sz val="9"/>
            <color indexed="81"/>
            <rFont val="Tahoma"/>
            <family val="2"/>
          </rPr>
          <t xml:space="preserve">
. Number calculated based on Statistics Denmark 2010 on the total nr. of busses
</t>
        </r>
      </text>
    </comment>
    <comment ref="V32" authorId="0" shapeId="0">
      <text>
        <r>
          <rPr>
            <b/>
            <sz val="9"/>
            <color indexed="81"/>
            <rFont val="Tahoma"/>
            <family val="2"/>
          </rPr>
          <t>Author:</t>
        </r>
        <r>
          <rPr>
            <sz val="9"/>
            <color indexed="81"/>
            <rFont val="Tahoma"/>
            <family val="2"/>
          </rPr>
          <t xml:space="preserve">
Technology unavailable in 2010.
</t>
        </r>
      </text>
    </comment>
    <comment ref="X32" authorId="0" shapeId="0">
      <text>
        <r>
          <rPr>
            <b/>
            <sz val="9"/>
            <color indexed="81"/>
            <rFont val="Tahoma"/>
            <family val="2"/>
          </rPr>
          <t>Author:</t>
        </r>
        <r>
          <rPr>
            <sz val="9"/>
            <color indexed="81"/>
            <rFont val="Tahoma"/>
            <family val="2"/>
          </rPr>
          <t xml:space="preserve">
Assummed identicle with reg. Electric bus
</t>
        </r>
      </text>
    </comment>
    <comment ref="Y32" authorId="0" shapeId="0">
      <text>
        <r>
          <rPr>
            <b/>
            <sz val="9"/>
            <color indexed="81"/>
            <rFont val="Tahoma"/>
            <family val="2"/>
          </rPr>
          <t>Author:</t>
        </r>
        <r>
          <rPr>
            <sz val="9"/>
            <color indexed="81"/>
            <rFont val="Tahoma"/>
            <family val="2"/>
          </rPr>
          <t xml:space="preserve">
Effeciency for busses assumed the same as for Fuel cell vehicles
</t>
        </r>
      </text>
    </comment>
    <comment ref="X34" authorId="0" shapeId="0">
      <text>
        <r>
          <rPr>
            <b/>
            <sz val="9"/>
            <color indexed="81"/>
            <rFont val="Tahoma"/>
            <family val="2"/>
          </rPr>
          <t>Author:</t>
        </r>
        <r>
          <rPr>
            <sz val="9"/>
            <color indexed="81"/>
            <rFont val="Tahoma"/>
            <family val="2"/>
          </rPr>
          <t xml:space="preserve">
Assummed identicle with reg. Diesel bus
</t>
        </r>
      </text>
    </comment>
    <comment ref="Y34"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X35" authorId="0" shapeId="0">
      <text>
        <r>
          <rPr>
            <b/>
            <sz val="9"/>
            <color indexed="81"/>
            <rFont val="Tahoma"/>
            <family val="2"/>
          </rPr>
          <t>Author:</t>
        </r>
        <r>
          <rPr>
            <sz val="9"/>
            <color indexed="81"/>
            <rFont val="Tahoma"/>
            <family val="2"/>
          </rPr>
          <t xml:space="preserve">
Assummed identicle with reg. Diesel bus
</t>
        </r>
      </text>
    </comment>
    <comment ref="Y35"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AR40" authorId="0" shapeId="0">
      <text>
        <r>
          <rPr>
            <b/>
            <sz val="9"/>
            <color indexed="81"/>
            <rFont val="Tahoma"/>
            <family val="2"/>
          </rPr>
          <t>Author:</t>
        </r>
        <r>
          <rPr>
            <sz val="9"/>
            <color indexed="81"/>
            <rFont val="Tahoma"/>
            <family val="2"/>
          </rPr>
          <t xml:space="preserve">
. Number calculated based on Statistics Denmark 2010 on the total nr. of busses
</t>
        </r>
      </text>
    </comment>
    <comment ref="AA47" authorId="0" shapeId="0">
      <text>
        <r>
          <rPr>
            <b/>
            <sz val="9"/>
            <color indexed="81"/>
            <rFont val="Tahoma"/>
            <family val="2"/>
          </rPr>
          <t>Author:</t>
        </r>
        <r>
          <rPr>
            <sz val="9"/>
            <color indexed="81"/>
            <rFont val="Tahoma"/>
            <family val="2"/>
          </rPr>
          <t xml:space="preserve">
Assummed to be identicle with regular aircraft development
</t>
        </r>
      </text>
    </comment>
    <comment ref="V48" authorId="0" shapeId="0">
      <text>
        <r>
          <rPr>
            <b/>
            <sz val="9"/>
            <color indexed="81"/>
            <rFont val="Tahoma"/>
            <family val="2"/>
          </rPr>
          <t>Author:</t>
        </r>
        <r>
          <rPr>
            <sz val="9"/>
            <color indexed="81"/>
            <rFont val="Tahoma"/>
            <family val="2"/>
          </rPr>
          <t xml:space="preserve">
Technology unavailable in 2010.
</t>
        </r>
      </text>
    </comment>
    <comment ref="AA48" authorId="0" shapeId="0">
      <text>
        <r>
          <rPr>
            <b/>
            <sz val="9"/>
            <color indexed="81"/>
            <rFont val="Tahoma"/>
            <family val="2"/>
          </rPr>
          <t>Author:</t>
        </r>
        <r>
          <rPr>
            <sz val="9"/>
            <color indexed="81"/>
            <rFont val="Tahoma"/>
            <family val="2"/>
          </rPr>
          <t xml:space="preserve">
Assummed to be identicle with regular aircraft development
</t>
        </r>
      </text>
    </comment>
    <comment ref="D49" authorId="0" shapeId="0">
      <text>
        <r>
          <rPr>
            <b/>
            <sz val="8"/>
            <color indexed="81"/>
            <rFont val="Tahoma"/>
            <family val="2"/>
          </rPr>
          <t>Author:</t>
        </r>
        <r>
          <rPr>
            <sz val="8"/>
            <color indexed="81"/>
            <rFont val="Tahoma"/>
            <family val="2"/>
          </rPr>
          <t xml:space="preserve">
Devided according to data from StatBank</t>
        </r>
      </text>
    </comment>
    <comment ref="K49" authorId="0" shapeId="0">
      <text>
        <r>
          <rPr>
            <b/>
            <sz val="8"/>
            <color indexed="81"/>
            <rFont val="Tahoma"/>
            <family val="2"/>
          </rPr>
          <t>Author:</t>
        </r>
        <r>
          <rPr>
            <sz val="8"/>
            <color indexed="81"/>
            <rFont val="Tahoma"/>
            <family val="2"/>
          </rPr>
          <t xml:space="preserve">
Forskellen i energiforbrug er udregnet med udgangspunkt i data om energiforbrug på forskellige turlængder. På ture over 1000km er det specifikke energiforbrug 75% af det tilsvarende for ture under 1000km. Kilde: Baggrundsrapport Ecopassenger</t>
        </r>
      </text>
    </comment>
    <comment ref="X59"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59" authorId="0" shapeId="0">
      <text>
        <r>
          <rPr>
            <b/>
            <sz val="9"/>
            <color indexed="81"/>
            <rFont val="Tahoma"/>
            <family val="2"/>
          </rPr>
          <t>Author:</t>
        </r>
        <r>
          <rPr>
            <sz val="9"/>
            <color indexed="81"/>
            <rFont val="Tahoma"/>
            <family val="2"/>
          </rPr>
          <t xml:space="preserve">
Total fuel to wheel efficiency of the vehicle in different formats.</t>
        </r>
      </text>
    </comment>
    <comment ref="AC59" authorId="0" shapeId="0">
      <text>
        <r>
          <rPr>
            <b/>
            <sz val="9"/>
            <color indexed="81"/>
            <rFont val="Tahoma"/>
            <family val="2"/>
          </rPr>
          <t>Author:</t>
        </r>
        <r>
          <rPr>
            <sz val="9"/>
            <color indexed="81"/>
            <rFont val="Tahoma"/>
            <family val="2"/>
          </rPr>
          <t xml:space="preserve">
Dependent on the utilization of the vehicle.</t>
        </r>
      </text>
    </comment>
    <comment ref="X60" authorId="0" shapeId="0">
      <text>
        <r>
          <rPr>
            <b/>
            <sz val="9"/>
            <color indexed="81"/>
            <rFont val="Tahoma"/>
            <family val="2"/>
          </rPr>
          <t>Author:</t>
        </r>
        <r>
          <rPr>
            <sz val="9"/>
            <color indexed="81"/>
            <rFont val="Tahoma"/>
            <family val="2"/>
          </rPr>
          <t xml:space="preserve">
Mechanical energy required to move the vehicle.</t>
        </r>
      </text>
    </comment>
    <comment ref="Y60" authorId="0" shapeId="0">
      <text>
        <r>
          <rPr>
            <b/>
            <sz val="9"/>
            <color indexed="81"/>
            <rFont val="Tahoma"/>
            <family val="2"/>
          </rPr>
          <t>Author:</t>
        </r>
        <r>
          <rPr>
            <sz val="9"/>
            <color indexed="81"/>
            <rFont val="Tahoma"/>
            <family val="2"/>
          </rPr>
          <t xml:space="preserve">
Amount of mechanical  energy required pr. input of fuel
 </t>
        </r>
      </text>
    </comment>
    <comment ref="T61" authorId="0" shapeId="0">
      <text>
        <r>
          <rPr>
            <b/>
            <sz val="9"/>
            <color indexed="81"/>
            <rFont val="Tahoma"/>
            <family val="2"/>
          </rPr>
          <t>Author:</t>
        </r>
        <r>
          <rPr>
            <sz val="9"/>
            <color indexed="81"/>
            <rFont val="Tahoma"/>
            <family val="2"/>
          </rPr>
          <t xml:space="preserve">
Total no of vehilces from statistics Denmark
</t>
        </r>
      </text>
    </comment>
    <comment ref="Y62"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66"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72" authorId="0" shapeId="0">
      <text>
        <r>
          <rPr>
            <b/>
            <sz val="9"/>
            <color indexed="81"/>
            <rFont val="Tahoma"/>
            <family val="2"/>
          </rPr>
          <t>Author:</t>
        </r>
        <r>
          <rPr>
            <sz val="9"/>
            <color indexed="81"/>
            <rFont val="Tahoma"/>
            <family val="2"/>
          </rPr>
          <t xml:space="preserve">
Assumed average efficiency of an engine.
</t>
        </r>
      </text>
    </comment>
    <comment ref="AB72" authorId="0" shapeId="0">
      <text>
        <r>
          <rPr>
            <b/>
            <sz val="9"/>
            <color indexed="81"/>
            <rFont val="Tahoma"/>
            <family val="2"/>
          </rPr>
          <t>Author:</t>
        </r>
        <r>
          <rPr>
            <sz val="9"/>
            <color indexed="81"/>
            <rFont val="Tahoma"/>
            <family val="2"/>
          </rPr>
          <t xml:space="preserve">
Is dependent on load factors</t>
        </r>
      </text>
    </comment>
    <comment ref="AR72" authorId="0" shapeId="0">
      <text>
        <r>
          <rPr>
            <b/>
            <sz val="9"/>
            <color indexed="81"/>
            <rFont val="Tahoma"/>
            <family val="2"/>
          </rPr>
          <t>Author:</t>
        </r>
        <r>
          <rPr>
            <sz val="9"/>
            <color indexed="81"/>
            <rFont val="Tahoma"/>
            <family val="2"/>
          </rPr>
          <t xml:space="preserve">
Total no of vehilces from statistics Denmark
</t>
        </r>
      </text>
    </comment>
    <comment ref="T73" authorId="0" shapeId="0">
      <text>
        <r>
          <rPr>
            <b/>
            <sz val="9"/>
            <color indexed="81"/>
            <rFont val="Tahoma"/>
            <family val="2"/>
          </rPr>
          <t>Author:</t>
        </r>
        <r>
          <rPr>
            <sz val="9"/>
            <color indexed="81"/>
            <rFont val="Tahoma"/>
            <family val="2"/>
          </rPr>
          <t xml:space="preserve">
Assesed based on trafic work for national transport work.</t>
        </r>
      </text>
    </comment>
    <comment ref="Y74"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78"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AB84" authorId="0" shapeId="0">
      <text>
        <r>
          <rPr>
            <b/>
            <sz val="9"/>
            <color indexed="81"/>
            <rFont val="Tahoma"/>
            <family val="2"/>
          </rPr>
          <t>Author:</t>
        </r>
        <r>
          <rPr>
            <sz val="9"/>
            <color indexed="81"/>
            <rFont val="Tahoma"/>
            <family val="2"/>
          </rPr>
          <t xml:space="preserve">
Is dependent on load factors
Calculated based on assumed efficiencies and based on load factors. Only used indirectly for converting to other fuels wiithin the truck category. The difference in national and international is due to different truck sizes.</t>
        </r>
      </text>
    </comment>
    <comment ref="T85" authorId="0" shapeId="0">
      <text>
        <r>
          <rPr>
            <b/>
            <sz val="9"/>
            <color indexed="81"/>
            <rFont val="Tahoma"/>
            <family val="2"/>
          </rPr>
          <t>Author:</t>
        </r>
        <r>
          <rPr>
            <sz val="9"/>
            <color indexed="81"/>
            <rFont val="Tahoma"/>
            <family val="2"/>
          </rPr>
          <t xml:space="preserve">
Total no of vehilces from statistics Denmark
</t>
        </r>
      </text>
    </comment>
    <comment ref="S86" authorId="0" shapeId="0">
      <text>
        <r>
          <rPr>
            <b/>
            <sz val="9"/>
            <color indexed="81"/>
            <rFont val="Tahoma"/>
            <family val="2"/>
          </rPr>
          <t>Author:</t>
        </r>
        <r>
          <rPr>
            <sz val="9"/>
            <color indexed="81"/>
            <rFont val="Tahoma"/>
            <family val="2"/>
          </rPr>
          <t xml:space="preserve">
Calculated using efficiencies of petrol/diesel vans</t>
        </r>
      </text>
    </comment>
    <comment ref="Y88"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Y94"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R102" authorId="0" shapeId="0">
      <text>
        <r>
          <rPr>
            <b/>
            <sz val="9"/>
            <color indexed="81"/>
            <rFont val="Tahoma"/>
            <family val="2"/>
          </rPr>
          <t>Author:</t>
        </r>
        <r>
          <rPr>
            <sz val="9"/>
            <color indexed="81"/>
            <rFont val="Tahoma"/>
            <family val="2"/>
          </rPr>
          <t xml:space="preserve">
Total no of vehilces from statistics Denmark
</t>
        </r>
      </text>
    </comment>
    <comment ref="D103" authorId="0" shapeId="0">
      <text>
        <r>
          <rPr>
            <b/>
            <sz val="9"/>
            <color indexed="81"/>
            <rFont val="Tahoma"/>
            <family val="2"/>
          </rPr>
          <t>Author:</t>
        </r>
        <r>
          <rPr>
            <sz val="9"/>
            <color indexed="81"/>
            <rFont val="Tahoma"/>
            <family val="2"/>
          </rPr>
          <t xml:space="preserve">
Fra statitstikbanken tabel 401 fås at 21tonkm (ud af 123) udføres på banestrækninger som ikke er elektricificeret. Dette er for region midtjylland og nordjylland. Dette giver 17% af det samlede transportarbejde.</t>
        </r>
      </text>
    </comment>
    <comment ref="D109" authorId="0" shapeId="0">
      <text>
        <r>
          <rPr>
            <b/>
            <sz val="9"/>
            <color indexed="81"/>
            <rFont val="Tahoma"/>
            <family val="2"/>
          </rPr>
          <t>Author:</t>
        </r>
        <r>
          <rPr>
            <sz val="9"/>
            <color indexed="81"/>
            <rFont val="Tahoma"/>
            <family val="2"/>
          </rPr>
          <t xml:space="preserve">
Alt kører på el</t>
        </r>
      </text>
    </comment>
    <comment ref="AA116" authorId="0" shapeId="0">
      <text>
        <r>
          <rPr>
            <b/>
            <sz val="9"/>
            <color indexed="81"/>
            <rFont val="Tahoma"/>
            <family val="2"/>
          </rPr>
          <t>Author:</t>
        </r>
        <r>
          <rPr>
            <sz val="9"/>
            <color indexed="81"/>
            <rFont val="Tahoma"/>
            <family val="2"/>
          </rPr>
          <t xml:space="preserve">
Assummed to be identicle with regular aircraft development
</t>
        </r>
      </text>
    </comment>
    <comment ref="AA117" authorId="0" shapeId="0">
      <text>
        <r>
          <rPr>
            <b/>
            <sz val="9"/>
            <color indexed="81"/>
            <rFont val="Tahoma"/>
            <family val="2"/>
          </rPr>
          <t>Author:</t>
        </r>
        <r>
          <rPr>
            <sz val="9"/>
            <color indexed="81"/>
            <rFont val="Tahoma"/>
            <family val="2"/>
          </rPr>
          <t xml:space="preserve">
Assummed to be identicle with regular aircraft development
</t>
        </r>
      </text>
    </comment>
    <comment ref="AA120" authorId="0" shapeId="0">
      <text>
        <r>
          <rPr>
            <b/>
            <sz val="9"/>
            <color indexed="81"/>
            <rFont val="Tahoma"/>
            <family val="2"/>
          </rPr>
          <t>Author:</t>
        </r>
        <r>
          <rPr>
            <sz val="9"/>
            <color indexed="81"/>
            <rFont val="Tahoma"/>
            <family val="2"/>
          </rPr>
          <t xml:space="preserve">
Assummed to be identicle with regular aircraft development
</t>
        </r>
      </text>
    </comment>
    <comment ref="AA121" authorId="0" shapeId="0">
      <text>
        <r>
          <rPr>
            <b/>
            <sz val="9"/>
            <color indexed="81"/>
            <rFont val="Tahoma"/>
            <family val="2"/>
          </rPr>
          <t>Author:</t>
        </r>
        <r>
          <rPr>
            <sz val="9"/>
            <color indexed="81"/>
            <rFont val="Tahoma"/>
            <family val="2"/>
          </rPr>
          <t xml:space="preserve">
Assummed to be identicle with regular aircraft development
</t>
        </r>
      </text>
    </comment>
    <comment ref="C133" authorId="0" shapeId="0">
      <text>
        <r>
          <rPr>
            <b/>
            <sz val="9"/>
            <color indexed="81"/>
            <rFont val="Tahoma"/>
            <family val="2"/>
          </rPr>
          <t>Author:</t>
        </r>
        <r>
          <rPr>
            <sz val="9"/>
            <color indexed="81"/>
            <rFont val="Tahoma"/>
            <family val="2"/>
          </rPr>
          <t xml:space="preserve">
Miletary consumption is normally not projected as other types in statistics. For agriculture etc. this part is taken from the catogories in the Energy Statistics 2009, and deducted from the fuel consumption in industry. It is assummed that this is constant in the period as appose to other industrial consumption.</t>
        </r>
      </text>
    </comment>
    <comment ref="C134" authorId="0" shapeId="0">
      <text>
        <r>
          <rPr>
            <b/>
            <sz val="9"/>
            <color indexed="81"/>
            <rFont val="Tahoma"/>
            <family val="2"/>
          </rPr>
          <t>Author:</t>
        </r>
        <r>
          <rPr>
            <sz val="9"/>
            <color indexed="81"/>
            <rFont val="Tahoma"/>
            <family val="2"/>
          </rPr>
          <t xml:space="preserve">
14 TJ petrol in aviation and ICEs assummed to be diesel</t>
        </r>
      </text>
    </comment>
    <comment ref="U135"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137"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U138"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139"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X144"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144" authorId="0" shapeId="0">
      <text>
        <r>
          <rPr>
            <b/>
            <sz val="9"/>
            <color indexed="81"/>
            <rFont val="Tahoma"/>
            <family val="2"/>
          </rPr>
          <t>Author:</t>
        </r>
        <r>
          <rPr>
            <sz val="9"/>
            <color indexed="81"/>
            <rFont val="Tahoma"/>
            <family val="2"/>
          </rPr>
          <t xml:space="preserve">
Total fuel to wheel efficiency of the vehicle in different formats.</t>
        </r>
      </text>
    </comment>
    <comment ref="AC144" authorId="0" shapeId="0">
      <text>
        <r>
          <rPr>
            <b/>
            <sz val="9"/>
            <color indexed="81"/>
            <rFont val="Tahoma"/>
            <family val="2"/>
          </rPr>
          <t>Author:</t>
        </r>
        <r>
          <rPr>
            <sz val="9"/>
            <color indexed="81"/>
            <rFont val="Tahoma"/>
            <family val="2"/>
          </rPr>
          <t xml:space="preserve">
Dependent on the utilization of the vehicle.</t>
        </r>
      </text>
    </comment>
    <comment ref="X145" authorId="0" shapeId="0">
      <text>
        <r>
          <rPr>
            <b/>
            <sz val="9"/>
            <color indexed="81"/>
            <rFont val="Tahoma"/>
            <family val="2"/>
          </rPr>
          <t>Author:</t>
        </r>
        <r>
          <rPr>
            <sz val="9"/>
            <color indexed="81"/>
            <rFont val="Tahoma"/>
            <family val="2"/>
          </rPr>
          <t xml:space="preserve">
Mechanical energy required to move the vehicle.</t>
        </r>
      </text>
    </comment>
    <comment ref="Y145" authorId="0" shapeId="0">
      <text>
        <r>
          <rPr>
            <b/>
            <sz val="9"/>
            <color indexed="81"/>
            <rFont val="Tahoma"/>
            <family val="2"/>
          </rPr>
          <t>Author:</t>
        </r>
        <r>
          <rPr>
            <sz val="9"/>
            <color indexed="81"/>
            <rFont val="Tahoma"/>
            <family val="2"/>
          </rPr>
          <t xml:space="preserve">
Amount of mechanical  energy required pr. input of fuel
 </t>
        </r>
      </text>
    </comment>
    <comment ref="C146" authorId="0" shapeId="0">
      <text>
        <r>
          <rPr>
            <b/>
            <sz val="12"/>
            <color indexed="81"/>
            <rFont val="Tahoma"/>
            <family val="2"/>
          </rPr>
          <t>Author:</t>
        </r>
        <r>
          <rPr>
            <sz val="12"/>
            <color indexed="81"/>
            <rFont val="Tahoma"/>
            <family val="2"/>
          </rPr>
          <t xml:space="preserve">
Den internationale del er inkluderet heri og udgør ca 4% af totalen.</t>
        </r>
      </text>
    </comment>
    <comment ref="T146"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C147" authorId="0" shapeId="0">
      <text>
        <r>
          <rPr>
            <b/>
            <sz val="9"/>
            <color indexed="81"/>
            <rFont val="Tahoma"/>
            <family val="2"/>
          </rPr>
          <t>Author:</t>
        </r>
        <r>
          <rPr>
            <sz val="9"/>
            <color indexed="81"/>
            <rFont val="Tahoma"/>
            <family val="2"/>
          </rPr>
          <t xml:space="preserve">
Andele er udregnet fra TU 2006-2010 data</t>
        </r>
      </text>
    </comment>
    <comment ref="S147" authorId="0" shapeId="0">
      <text>
        <r>
          <rPr>
            <b/>
            <sz val="9"/>
            <color indexed="81"/>
            <rFont val="Tahoma"/>
            <family val="2"/>
          </rPr>
          <t>Author:</t>
        </r>
        <r>
          <rPr>
            <sz val="9"/>
            <color indexed="81"/>
            <rFont val="Tahoma"/>
            <family val="2"/>
          </rPr>
          <t xml:space="preserve">
Calculated using efficiencies of petrol/diesel vans</t>
        </r>
      </text>
    </comment>
    <comment ref="AB148" authorId="0" shapeId="0">
      <text>
        <r>
          <rPr>
            <b/>
            <sz val="9"/>
            <color indexed="81"/>
            <rFont val="Tahoma"/>
            <family val="2"/>
          </rPr>
          <t>Author:</t>
        </r>
        <r>
          <rPr>
            <sz val="9"/>
            <color indexed="81"/>
            <rFont val="Tahoma"/>
            <family val="2"/>
          </rPr>
          <t xml:space="preserve">
Assumed to be half way between 2006 and 2025 vehicles data from the DEA.</t>
        </r>
      </text>
    </comment>
    <comment ref="X149" authorId="0" shapeId="0">
      <text>
        <r>
          <rPr>
            <b/>
            <sz val="9"/>
            <color indexed="81"/>
            <rFont val="Tahoma"/>
            <family val="2"/>
          </rPr>
          <t>Author:</t>
        </r>
        <r>
          <rPr>
            <sz val="9"/>
            <color indexed="81"/>
            <rFont val="Tahoma"/>
            <family val="2"/>
          </rPr>
          <t xml:space="preserve">
Assummed identicle with reg. Diesel vehicle
</t>
        </r>
      </text>
    </comment>
    <comment ref="AA149"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150" authorId="0" shapeId="0">
      <text>
        <r>
          <rPr>
            <b/>
            <sz val="9"/>
            <color indexed="81"/>
            <rFont val="Tahoma"/>
            <family val="2"/>
          </rPr>
          <t>Author:</t>
        </r>
        <r>
          <rPr>
            <sz val="9"/>
            <color indexed="81"/>
            <rFont val="Tahoma"/>
            <family val="2"/>
          </rPr>
          <t xml:space="preserve">
Assummed identicle with reg. Diesel vehicle
</t>
        </r>
      </text>
    </comment>
    <comment ref="AB152"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X155" authorId="0" shapeId="0">
      <text>
        <r>
          <rPr>
            <b/>
            <sz val="9"/>
            <color indexed="81"/>
            <rFont val="Tahoma"/>
            <family val="2"/>
          </rPr>
          <t>Author:</t>
        </r>
        <r>
          <rPr>
            <sz val="9"/>
            <color indexed="81"/>
            <rFont val="Tahoma"/>
            <family val="2"/>
          </rPr>
          <t xml:space="preserve">
Assummed identicle with reg. Diesel vehicle
</t>
        </r>
      </text>
    </comment>
    <comment ref="AA155"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156" authorId="0" shapeId="0">
      <text>
        <r>
          <rPr>
            <b/>
            <sz val="9"/>
            <color indexed="81"/>
            <rFont val="Tahoma"/>
            <family val="2"/>
          </rPr>
          <t>Author:</t>
        </r>
        <r>
          <rPr>
            <sz val="9"/>
            <color indexed="81"/>
            <rFont val="Tahoma"/>
            <family val="2"/>
          </rPr>
          <t xml:space="preserve">
Assummed identicle with reg. Diesel vehicle
</t>
        </r>
      </text>
    </comment>
    <comment ref="X160"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161"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163" authorId="0" shapeId="0">
      <text>
        <r>
          <rPr>
            <b/>
            <sz val="9"/>
            <color indexed="81"/>
            <rFont val="Tahoma"/>
            <family val="2"/>
          </rPr>
          <t>Author:</t>
        </r>
        <r>
          <rPr>
            <sz val="9"/>
            <color indexed="81"/>
            <rFont val="Tahoma"/>
            <family val="2"/>
          </rPr>
          <t xml:space="preserve">
Calculeted using  distribution between petrol and diesel</t>
        </r>
      </text>
    </comment>
    <comment ref="AB163" authorId="0" shapeId="0">
      <text>
        <r>
          <rPr>
            <b/>
            <sz val="9"/>
            <color indexed="81"/>
            <rFont val="Tahoma"/>
            <family val="2"/>
          </rPr>
          <t>Author:</t>
        </r>
        <r>
          <rPr>
            <sz val="9"/>
            <color indexed="81"/>
            <rFont val="Tahoma"/>
            <family val="2"/>
          </rPr>
          <t xml:space="preserve">
Avarege based on statistics from DEA.</t>
        </r>
      </text>
    </comment>
    <comment ref="T164" authorId="0" shapeId="0">
      <text>
        <r>
          <rPr>
            <b/>
            <sz val="9"/>
            <color indexed="81"/>
            <rFont val="Tahoma"/>
            <family val="2"/>
          </rPr>
          <t>Author:</t>
        </r>
        <r>
          <rPr>
            <sz val="9"/>
            <color indexed="81"/>
            <rFont val="Tahoma"/>
            <family val="2"/>
          </rPr>
          <t xml:space="preserve">
. Number calculated based on Statistics Denmark 2010. Adjusted with pkm.
</t>
        </r>
      </text>
    </comment>
    <comment ref="C166" authorId="0" shapeId="0">
      <text>
        <r>
          <rPr>
            <b/>
            <sz val="9"/>
            <color indexed="81"/>
            <rFont val="Tahoma"/>
            <family val="2"/>
          </rPr>
          <t>Author:</t>
        </r>
        <r>
          <rPr>
            <sz val="9"/>
            <color indexed="81"/>
            <rFont val="Tahoma"/>
            <family val="2"/>
          </rPr>
          <t xml:space="preserve">
Fordeling er udarbejdet med udgangspunkt i DSB´s materiel (se data input side)</t>
        </r>
      </text>
    </comment>
    <comment ref="C168" authorId="0" shapeId="0">
      <text>
        <r>
          <rPr>
            <b/>
            <sz val="9"/>
            <color indexed="81"/>
            <rFont val="Tahoma"/>
            <family val="2"/>
          </rPr>
          <t>Author:</t>
        </r>
        <r>
          <rPr>
            <sz val="9"/>
            <color indexed="81"/>
            <rFont val="Tahoma"/>
            <family val="2"/>
          </rPr>
          <t xml:space="preserve">
Antagelse: 100% el</t>
        </r>
      </text>
    </comment>
    <comment ref="T170" authorId="0" shapeId="0">
      <text>
        <r>
          <rPr>
            <b/>
            <sz val="9"/>
            <color indexed="81"/>
            <rFont val="Tahoma"/>
            <family val="2"/>
          </rPr>
          <t>Author:</t>
        </r>
        <r>
          <rPr>
            <sz val="9"/>
            <color indexed="81"/>
            <rFont val="Tahoma"/>
            <family val="2"/>
          </rPr>
          <t xml:space="preserve">
. Number calculated based on Statistics Denmark 2010. Adjusted with pkm.
</t>
        </r>
      </text>
    </comment>
    <comment ref="Y171"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X172" authorId="0" shapeId="0">
      <text>
        <r>
          <rPr>
            <b/>
            <sz val="9"/>
            <color indexed="81"/>
            <rFont val="Tahoma"/>
            <family val="2"/>
          </rPr>
          <t>Author:</t>
        </r>
        <r>
          <rPr>
            <sz val="9"/>
            <color indexed="81"/>
            <rFont val="Tahoma"/>
            <family val="2"/>
          </rPr>
          <t xml:space="preserve">
Assummed identicle with reg. Electric bus
</t>
        </r>
      </text>
    </comment>
    <comment ref="Y172" authorId="0" shapeId="0">
      <text>
        <r>
          <rPr>
            <b/>
            <sz val="9"/>
            <color indexed="81"/>
            <rFont val="Tahoma"/>
            <family val="2"/>
          </rPr>
          <t>Author:</t>
        </r>
        <r>
          <rPr>
            <sz val="9"/>
            <color indexed="81"/>
            <rFont val="Tahoma"/>
            <family val="2"/>
          </rPr>
          <t xml:space="preserve">
Effeciency for busses assumed the same as for Fuel cell vehicles
</t>
        </r>
      </text>
    </comment>
    <comment ref="Y173"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X174" authorId="0" shapeId="0">
      <text>
        <r>
          <rPr>
            <b/>
            <sz val="9"/>
            <color indexed="81"/>
            <rFont val="Tahoma"/>
            <family val="2"/>
          </rPr>
          <t>Author:</t>
        </r>
        <r>
          <rPr>
            <sz val="9"/>
            <color indexed="81"/>
            <rFont val="Tahoma"/>
            <family val="2"/>
          </rPr>
          <t xml:space="preserve">
Assummed identicle with reg. Diesel bus
</t>
        </r>
      </text>
    </comment>
    <comment ref="Y174"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X175" authorId="0" shapeId="0">
      <text>
        <r>
          <rPr>
            <b/>
            <sz val="9"/>
            <color indexed="81"/>
            <rFont val="Tahoma"/>
            <family val="2"/>
          </rPr>
          <t>Author:</t>
        </r>
        <r>
          <rPr>
            <sz val="9"/>
            <color indexed="81"/>
            <rFont val="Tahoma"/>
            <family val="2"/>
          </rPr>
          <t xml:space="preserve">
Assummed identicle with reg. Diesel bus
</t>
        </r>
      </text>
    </comment>
    <comment ref="Y175"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C176" authorId="0" shapeId="0">
      <text>
        <r>
          <rPr>
            <b/>
            <sz val="8"/>
            <color indexed="81"/>
            <rFont val="Tahoma"/>
            <family val="2"/>
          </rPr>
          <t>Author:</t>
        </r>
        <r>
          <rPr>
            <sz val="8"/>
            <color indexed="81"/>
            <rFont val="Tahoma"/>
            <family val="2"/>
          </rPr>
          <t xml:space="preserve">
Kilde Incentives partners - opgørelse af udlandsandele for lastbiler og turistbusser</t>
        </r>
      </text>
    </comment>
    <comment ref="Y176"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K187" authorId="0" shapeId="0">
      <text>
        <r>
          <rPr>
            <b/>
            <sz val="8"/>
            <color indexed="81"/>
            <rFont val="Tahoma"/>
            <family val="2"/>
          </rPr>
          <t>Author:</t>
        </r>
        <r>
          <rPr>
            <sz val="8"/>
            <color indexed="81"/>
            <rFont val="Tahoma"/>
            <family val="2"/>
          </rPr>
          <t xml:space="preserve">
Forskellen i energiforbrug er udregnet med udgangspunkt i data om energiforbrug på forskellige turlængder. På ture over 1000km er det specifikke energiforbrug 75% af det tilsvarende for ture under 1000km. Kilde: Baggrundsrapport Ecopassenger</t>
        </r>
      </text>
    </comment>
    <comment ref="AA187" authorId="0" shapeId="0">
      <text>
        <r>
          <rPr>
            <b/>
            <sz val="9"/>
            <color indexed="81"/>
            <rFont val="Tahoma"/>
            <family val="2"/>
          </rPr>
          <t>Author:</t>
        </r>
        <r>
          <rPr>
            <sz val="9"/>
            <color indexed="81"/>
            <rFont val="Tahoma"/>
            <family val="2"/>
          </rPr>
          <t xml:space="preserve">
Assummed to be identicle with regular aircraft development
</t>
        </r>
      </text>
    </comment>
    <comment ref="AA188" authorId="0" shapeId="0">
      <text>
        <r>
          <rPr>
            <b/>
            <sz val="9"/>
            <color indexed="81"/>
            <rFont val="Tahoma"/>
            <family val="2"/>
          </rPr>
          <t>Author:</t>
        </r>
        <r>
          <rPr>
            <sz val="9"/>
            <color indexed="81"/>
            <rFont val="Tahoma"/>
            <family val="2"/>
          </rPr>
          <t xml:space="preserve">
Assummed to be identicle with regular aircraft development
</t>
        </r>
      </text>
    </comment>
    <comment ref="K189" authorId="0" shapeId="0">
      <text>
        <r>
          <rPr>
            <b/>
            <sz val="8"/>
            <color indexed="81"/>
            <rFont val="Tahoma"/>
            <family val="2"/>
          </rPr>
          <t>Author:</t>
        </r>
        <r>
          <rPr>
            <sz val="8"/>
            <color indexed="81"/>
            <rFont val="Tahoma"/>
            <family val="2"/>
          </rPr>
          <t xml:space="preserve">
Forskellen i energiforbrug er udregnet med udgangspunkt i data om energiforbrug på forskellige turlængder. På ture over 1000km er det specifikke energiforbrug 75% af det tilsvarende for ture under 1000km. Kilde: Baggrundsrapport Ecopassenger</t>
        </r>
      </text>
    </comment>
    <comment ref="X199"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199" authorId="0" shapeId="0">
      <text>
        <r>
          <rPr>
            <b/>
            <sz val="9"/>
            <color indexed="81"/>
            <rFont val="Tahoma"/>
            <family val="2"/>
          </rPr>
          <t>Author:</t>
        </r>
        <r>
          <rPr>
            <sz val="9"/>
            <color indexed="81"/>
            <rFont val="Tahoma"/>
            <family val="2"/>
          </rPr>
          <t xml:space="preserve">
Total fuel to wheel efficiency of the vehicle in different formats.</t>
        </r>
      </text>
    </comment>
    <comment ref="AC199" authorId="0" shapeId="0">
      <text>
        <r>
          <rPr>
            <b/>
            <sz val="9"/>
            <color indexed="81"/>
            <rFont val="Tahoma"/>
            <family val="2"/>
          </rPr>
          <t>Author:</t>
        </r>
        <r>
          <rPr>
            <sz val="9"/>
            <color indexed="81"/>
            <rFont val="Tahoma"/>
            <family val="2"/>
          </rPr>
          <t xml:space="preserve">
Dependent on the utilization of the vehicle.</t>
        </r>
      </text>
    </comment>
    <comment ref="X200" authorId="0" shapeId="0">
      <text>
        <r>
          <rPr>
            <b/>
            <sz val="9"/>
            <color indexed="81"/>
            <rFont val="Tahoma"/>
            <family val="2"/>
          </rPr>
          <t>Author:</t>
        </r>
        <r>
          <rPr>
            <sz val="9"/>
            <color indexed="81"/>
            <rFont val="Tahoma"/>
            <family val="2"/>
          </rPr>
          <t xml:space="preserve">
Mechanical energy required to move the vehicle.</t>
        </r>
      </text>
    </comment>
    <comment ref="Y200" authorId="0" shapeId="0">
      <text>
        <r>
          <rPr>
            <b/>
            <sz val="9"/>
            <color indexed="81"/>
            <rFont val="Tahoma"/>
            <family val="2"/>
          </rPr>
          <t>Author:</t>
        </r>
        <r>
          <rPr>
            <sz val="9"/>
            <color indexed="81"/>
            <rFont val="Tahoma"/>
            <family val="2"/>
          </rPr>
          <t xml:space="preserve">
Amount of mechanical  energy required pr. input of fuel
 </t>
        </r>
      </text>
    </comment>
    <comment ref="T201"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Y202"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203"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Y206"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208"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Y212" authorId="0" shapeId="0">
      <text>
        <r>
          <rPr>
            <b/>
            <sz val="9"/>
            <color indexed="81"/>
            <rFont val="Tahoma"/>
            <family val="2"/>
          </rPr>
          <t>Author:</t>
        </r>
        <r>
          <rPr>
            <sz val="9"/>
            <color indexed="81"/>
            <rFont val="Tahoma"/>
            <family val="2"/>
          </rPr>
          <t xml:space="preserve">
Assumed to be half way between 2006 and 2025 vehicles data from the DEA.
</t>
        </r>
      </text>
    </comment>
    <comment ref="T213" authorId="0" shapeId="0">
      <text>
        <r>
          <rPr>
            <b/>
            <sz val="9"/>
            <color indexed="81"/>
            <rFont val="Tahoma"/>
            <family val="2"/>
          </rPr>
          <t>Author:</t>
        </r>
        <r>
          <rPr>
            <sz val="9"/>
            <color indexed="81"/>
            <rFont val="Tahoma"/>
            <family val="2"/>
          </rPr>
          <t xml:space="preserve">
Assesed based on trafic work for national transport work.</t>
        </r>
      </text>
    </comment>
    <comment ref="Y214"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218"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225"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S226" authorId="0" shapeId="0">
      <text>
        <r>
          <rPr>
            <b/>
            <sz val="9"/>
            <color indexed="81"/>
            <rFont val="Tahoma"/>
            <family val="2"/>
          </rPr>
          <t>Author:</t>
        </r>
        <r>
          <rPr>
            <sz val="9"/>
            <color indexed="81"/>
            <rFont val="Tahoma"/>
            <family val="2"/>
          </rPr>
          <t xml:space="preserve">
Calculated using efficiencies of petrol/diesel vans</t>
        </r>
      </text>
    </comment>
    <comment ref="Y228"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Y234"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A256" authorId="0" shapeId="0">
      <text>
        <r>
          <rPr>
            <b/>
            <sz val="9"/>
            <color indexed="81"/>
            <rFont val="Tahoma"/>
            <family val="2"/>
          </rPr>
          <t>Author:</t>
        </r>
        <r>
          <rPr>
            <sz val="9"/>
            <color indexed="81"/>
            <rFont val="Tahoma"/>
            <family val="2"/>
          </rPr>
          <t xml:space="preserve">
Assummed to be identicle with regular aircraft development
</t>
        </r>
      </text>
    </comment>
    <comment ref="AA257" authorId="0" shapeId="0">
      <text>
        <r>
          <rPr>
            <b/>
            <sz val="9"/>
            <color indexed="81"/>
            <rFont val="Tahoma"/>
            <family val="2"/>
          </rPr>
          <t>Author:</t>
        </r>
        <r>
          <rPr>
            <sz val="9"/>
            <color indexed="81"/>
            <rFont val="Tahoma"/>
            <family val="2"/>
          </rPr>
          <t xml:space="preserve">
Assummed to be identicle with regular aircraft development
</t>
        </r>
      </text>
    </comment>
    <comment ref="AA260" authorId="0" shapeId="0">
      <text>
        <r>
          <rPr>
            <b/>
            <sz val="9"/>
            <color indexed="81"/>
            <rFont val="Tahoma"/>
            <family val="2"/>
          </rPr>
          <t>Author:</t>
        </r>
        <r>
          <rPr>
            <sz val="9"/>
            <color indexed="81"/>
            <rFont val="Tahoma"/>
            <family val="2"/>
          </rPr>
          <t xml:space="preserve">
Assummed to be identicle with regular aircraft development
</t>
        </r>
      </text>
    </comment>
    <comment ref="AA261" authorId="0" shapeId="0">
      <text>
        <r>
          <rPr>
            <b/>
            <sz val="9"/>
            <color indexed="81"/>
            <rFont val="Tahoma"/>
            <family val="2"/>
          </rPr>
          <t>Author:</t>
        </r>
        <r>
          <rPr>
            <sz val="9"/>
            <color indexed="81"/>
            <rFont val="Tahoma"/>
            <family val="2"/>
          </rPr>
          <t xml:space="preserve">
Assummed to be identicle with regular aircraft development
</t>
        </r>
      </text>
    </comment>
    <comment ref="C274" authorId="0" shapeId="0">
      <text>
        <r>
          <rPr>
            <b/>
            <sz val="9"/>
            <color indexed="81"/>
            <rFont val="Tahoma"/>
            <family val="2"/>
          </rPr>
          <t>Author:</t>
        </r>
        <r>
          <rPr>
            <sz val="9"/>
            <color indexed="81"/>
            <rFont val="Tahoma"/>
            <family val="2"/>
          </rPr>
          <t xml:space="preserve">
14 TJ petrol in aviation and ICEs assummed to be diesel</t>
        </r>
      </text>
    </comment>
    <comment ref="U275"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277"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U278"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279"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X284"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284" authorId="0" shapeId="0">
      <text>
        <r>
          <rPr>
            <b/>
            <sz val="9"/>
            <color indexed="81"/>
            <rFont val="Tahoma"/>
            <family val="2"/>
          </rPr>
          <t>Author:</t>
        </r>
        <r>
          <rPr>
            <sz val="9"/>
            <color indexed="81"/>
            <rFont val="Tahoma"/>
            <family val="2"/>
          </rPr>
          <t xml:space="preserve">
Total fuel to wheel efficiency of the vehicle in different formats.</t>
        </r>
      </text>
    </comment>
    <comment ref="AC284" authorId="0" shapeId="0">
      <text>
        <r>
          <rPr>
            <b/>
            <sz val="9"/>
            <color indexed="81"/>
            <rFont val="Tahoma"/>
            <family val="2"/>
          </rPr>
          <t>Author:</t>
        </r>
        <r>
          <rPr>
            <sz val="9"/>
            <color indexed="81"/>
            <rFont val="Tahoma"/>
            <family val="2"/>
          </rPr>
          <t xml:space="preserve">
Dependent on the utilization of the vehicle.</t>
        </r>
      </text>
    </comment>
    <comment ref="X285" authorId="0" shapeId="0">
      <text>
        <r>
          <rPr>
            <b/>
            <sz val="9"/>
            <color indexed="81"/>
            <rFont val="Tahoma"/>
            <family val="2"/>
          </rPr>
          <t>Author:</t>
        </r>
        <r>
          <rPr>
            <sz val="9"/>
            <color indexed="81"/>
            <rFont val="Tahoma"/>
            <family val="2"/>
          </rPr>
          <t xml:space="preserve">
Mechanical energy required to move the vehicle.</t>
        </r>
      </text>
    </comment>
    <comment ref="Y285" authorId="0" shapeId="0">
      <text>
        <r>
          <rPr>
            <b/>
            <sz val="9"/>
            <color indexed="81"/>
            <rFont val="Tahoma"/>
            <family val="2"/>
          </rPr>
          <t>Author:</t>
        </r>
        <r>
          <rPr>
            <sz val="9"/>
            <color indexed="81"/>
            <rFont val="Tahoma"/>
            <family val="2"/>
          </rPr>
          <t xml:space="preserve">
Amount of mechanical  energy required pr. input of fuel
 </t>
        </r>
      </text>
    </comment>
    <comment ref="C286" authorId="0" shapeId="0">
      <text>
        <r>
          <rPr>
            <b/>
            <sz val="12"/>
            <color indexed="81"/>
            <rFont val="Tahoma"/>
            <family val="2"/>
          </rPr>
          <t>Author:</t>
        </r>
        <r>
          <rPr>
            <sz val="12"/>
            <color indexed="81"/>
            <rFont val="Tahoma"/>
            <family val="2"/>
          </rPr>
          <t xml:space="preserve">
Den internationale del er inkluderet heri og udgør ca 4% af totalen.</t>
        </r>
      </text>
    </comment>
    <comment ref="T286"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C287" authorId="0" shapeId="0">
      <text>
        <r>
          <rPr>
            <b/>
            <sz val="9"/>
            <color indexed="81"/>
            <rFont val="Tahoma"/>
            <family val="2"/>
          </rPr>
          <t>Author:</t>
        </r>
        <r>
          <rPr>
            <sz val="9"/>
            <color indexed="81"/>
            <rFont val="Tahoma"/>
            <family val="2"/>
          </rPr>
          <t xml:space="preserve">
Andele er udregnet fra TU 2006-2010 data</t>
        </r>
      </text>
    </comment>
    <comment ref="S287" authorId="0" shapeId="0">
      <text>
        <r>
          <rPr>
            <b/>
            <sz val="9"/>
            <color indexed="81"/>
            <rFont val="Tahoma"/>
            <family val="2"/>
          </rPr>
          <t>Author:</t>
        </r>
        <r>
          <rPr>
            <sz val="9"/>
            <color indexed="81"/>
            <rFont val="Tahoma"/>
            <family val="2"/>
          </rPr>
          <t xml:space="preserve">
Calculated using efficiencies of petrol/diesel vans</t>
        </r>
      </text>
    </comment>
    <comment ref="X289" authorId="0" shapeId="0">
      <text>
        <r>
          <rPr>
            <b/>
            <sz val="9"/>
            <color indexed="81"/>
            <rFont val="Tahoma"/>
            <family val="2"/>
          </rPr>
          <t>Author:</t>
        </r>
        <r>
          <rPr>
            <sz val="9"/>
            <color indexed="81"/>
            <rFont val="Tahoma"/>
            <family val="2"/>
          </rPr>
          <t xml:space="preserve">
Assummed identicle with reg. Diesel vehicle
</t>
        </r>
      </text>
    </comment>
    <comment ref="AA289"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290" authorId="0" shapeId="0">
      <text>
        <r>
          <rPr>
            <b/>
            <sz val="9"/>
            <color indexed="81"/>
            <rFont val="Tahoma"/>
            <family val="2"/>
          </rPr>
          <t>Author:</t>
        </r>
        <r>
          <rPr>
            <sz val="9"/>
            <color indexed="81"/>
            <rFont val="Tahoma"/>
            <family val="2"/>
          </rPr>
          <t xml:space="preserve">
Assummed identicle with reg. Diesel vehicle
</t>
        </r>
      </text>
    </comment>
    <comment ref="X295" authorId="0" shapeId="0">
      <text>
        <r>
          <rPr>
            <b/>
            <sz val="9"/>
            <color indexed="81"/>
            <rFont val="Tahoma"/>
            <family val="2"/>
          </rPr>
          <t>Author:</t>
        </r>
        <r>
          <rPr>
            <sz val="9"/>
            <color indexed="81"/>
            <rFont val="Tahoma"/>
            <family val="2"/>
          </rPr>
          <t xml:space="preserve">
Assummed identicle with reg. Diesel vehicle
</t>
        </r>
      </text>
    </comment>
    <comment ref="AA295"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296" authorId="0" shapeId="0">
      <text>
        <r>
          <rPr>
            <b/>
            <sz val="9"/>
            <color indexed="81"/>
            <rFont val="Tahoma"/>
            <family val="2"/>
          </rPr>
          <t>Author:</t>
        </r>
        <r>
          <rPr>
            <sz val="9"/>
            <color indexed="81"/>
            <rFont val="Tahoma"/>
            <family val="2"/>
          </rPr>
          <t xml:space="preserve">
Assummed identicle with reg. Diesel vehicle
</t>
        </r>
      </text>
    </comment>
    <comment ref="X300"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301" authorId="0" shapeId="0">
      <text>
        <r>
          <rPr>
            <b/>
            <sz val="9"/>
            <color indexed="81"/>
            <rFont val="Tahoma"/>
            <family val="2"/>
          </rPr>
          <t>Author:</t>
        </r>
        <r>
          <rPr>
            <sz val="9"/>
            <color indexed="81"/>
            <rFont val="Tahoma"/>
            <family val="2"/>
          </rPr>
          <t xml:space="preserve">
The specific energy consumption is assumed to be identicle with BEV.
With methonole as the fuel the specific demand would be lower, and with hydrogen it would be higher.</t>
        </r>
      </text>
    </comment>
    <comment ref="X303" authorId="0" shapeId="0">
      <text>
        <r>
          <rPr>
            <b/>
            <sz val="9"/>
            <color indexed="81"/>
            <rFont val="Tahoma"/>
            <family val="2"/>
          </rPr>
          <t>Author:</t>
        </r>
        <r>
          <rPr>
            <sz val="9"/>
            <color indexed="81"/>
            <rFont val="Tahoma"/>
            <family val="2"/>
          </rPr>
          <t xml:space="preserve">
Calculeted using  distribution between petrol and diesel</t>
        </r>
      </text>
    </comment>
    <comment ref="AB303" authorId="0" shapeId="0">
      <text>
        <r>
          <rPr>
            <b/>
            <sz val="9"/>
            <color indexed="81"/>
            <rFont val="Tahoma"/>
            <family val="2"/>
          </rPr>
          <t>Author:</t>
        </r>
        <r>
          <rPr>
            <sz val="9"/>
            <color indexed="81"/>
            <rFont val="Tahoma"/>
            <family val="2"/>
          </rPr>
          <t xml:space="preserve">
Avarege based on statistics from DEA.</t>
        </r>
      </text>
    </comment>
    <comment ref="T304" authorId="0" shapeId="0">
      <text>
        <r>
          <rPr>
            <b/>
            <sz val="9"/>
            <color indexed="81"/>
            <rFont val="Tahoma"/>
            <family val="2"/>
          </rPr>
          <t>Author:</t>
        </r>
        <r>
          <rPr>
            <sz val="9"/>
            <color indexed="81"/>
            <rFont val="Tahoma"/>
            <family val="2"/>
          </rPr>
          <t xml:space="preserve">
. Number calculated based on Statistics Denmark 2010. Adjusted with pkm.
</t>
        </r>
      </text>
    </comment>
    <comment ref="T310" authorId="0" shapeId="0">
      <text>
        <r>
          <rPr>
            <b/>
            <sz val="9"/>
            <color indexed="81"/>
            <rFont val="Tahoma"/>
            <family val="2"/>
          </rPr>
          <t>Author:</t>
        </r>
        <r>
          <rPr>
            <sz val="9"/>
            <color indexed="81"/>
            <rFont val="Tahoma"/>
            <family val="2"/>
          </rPr>
          <t xml:space="preserve">
. Number calculated based on Statistics Denmark 2010. Adjusted with pkm.
</t>
        </r>
      </text>
    </comment>
    <comment ref="X312" authorId="0" shapeId="0">
      <text>
        <r>
          <rPr>
            <b/>
            <sz val="9"/>
            <color indexed="81"/>
            <rFont val="Tahoma"/>
            <family val="2"/>
          </rPr>
          <t>Author:</t>
        </r>
        <r>
          <rPr>
            <sz val="9"/>
            <color indexed="81"/>
            <rFont val="Tahoma"/>
            <family val="2"/>
          </rPr>
          <t xml:space="preserve">
Assummed identicle with reg. Electric bus
</t>
        </r>
      </text>
    </comment>
    <comment ref="Y312" authorId="0" shapeId="0">
      <text>
        <r>
          <rPr>
            <b/>
            <sz val="9"/>
            <color indexed="81"/>
            <rFont val="Tahoma"/>
            <family val="2"/>
          </rPr>
          <t>Author:</t>
        </r>
        <r>
          <rPr>
            <sz val="9"/>
            <color indexed="81"/>
            <rFont val="Tahoma"/>
            <family val="2"/>
          </rPr>
          <t xml:space="preserve">
Effeciency for busses assumed the same as for Fuel cell vehicles
</t>
        </r>
      </text>
    </comment>
    <comment ref="X314" authorId="0" shapeId="0">
      <text>
        <r>
          <rPr>
            <b/>
            <sz val="9"/>
            <color indexed="81"/>
            <rFont val="Tahoma"/>
            <family val="2"/>
          </rPr>
          <t>Author:</t>
        </r>
        <r>
          <rPr>
            <sz val="9"/>
            <color indexed="81"/>
            <rFont val="Tahoma"/>
            <family val="2"/>
          </rPr>
          <t xml:space="preserve">
Assummed identicle with reg. Diesel bus
</t>
        </r>
      </text>
    </comment>
    <comment ref="Y314"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X315" authorId="0" shapeId="0">
      <text>
        <r>
          <rPr>
            <b/>
            <sz val="9"/>
            <color indexed="81"/>
            <rFont val="Tahoma"/>
            <family val="2"/>
          </rPr>
          <t>Author:</t>
        </r>
        <r>
          <rPr>
            <sz val="9"/>
            <color indexed="81"/>
            <rFont val="Tahoma"/>
            <family val="2"/>
          </rPr>
          <t xml:space="preserve">
Assummed identicle with reg. Diesel bus
</t>
        </r>
      </text>
    </comment>
    <comment ref="Y315"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AA327" authorId="0" shapeId="0">
      <text>
        <r>
          <rPr>
            <b/>
            <sz val="9"/>
            <color indexed="81"/>
            <rFont val="Tahoma"/>
            <family val="2"/>
          </rPr>
          <t>Author:</t>
        </r>
        <r>
          <rPr>
            <sz val="9"/>
            <color indexed="81"/>
            <rFont val="Tahoma"/>
            <family val="2"/>
          </rPr>
          <t xml:space="preserve">
Assummed to be identicle with regular aircraft development
</t>
        </r>
      </text>
    </comment>
    <comment ref="AA328" authorId="0" shapeId="0">
      <text>
        <r>
          <rPr>
            <b/>
            <sz val="9"/>
            <color indexed="81"/>
            <rFont val="Tahoma"/>
            <family val="2"/>
          </rPr>
          <t>Author:</t>
        </r>
        <r>
          <rPr>
            <sz val="9"/>
            <color indexed="81"/>
            <rFont val="Tahoma"/>
            <family val="2"/>
          </rPr>
          <t xml:space="preserve">
Assummed to be identicle with regular aircraft development
</t>
        </r>
      </text>
    </comment>
    <comment ref="X339"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339" authorId="0" shapeId="0">
      <text>
        <r>
          <rPr>
            <b/>
            <sz val="9"/>
            <color indexed="81"/>
            <rFont val="Tahoma"/>
            <family val="2"/>
          </rPr>
          <t>Author:</t>
        </r>
        <r>
          <rPr>
            <sz val="9"/>
            <color indexed="81"/>
            <rFont val="Tahoma"/>
            <family val="2"/>
          </rPr>
          <t xml:space="preserve">
Total fuel to wheel efficiency of the vehicle in different formats.</t>
        </r>
      </text>
    </comment>
    <comment ref="AC339" authorId="0" shapeId="0">
      <text>
        <r>
          <rPr>
            <b/>
            <sz val="9"/>
            <color indexed="81"/>
            <rFont val="Tahoma"/>
            <family val="2"/>
          </rPr>
          <t>Author:</t>
        </r>
        <r>
          <rPr>
            <sz val="9"/>
            <color indexed="81"/>
            <rFont val="Tahoma"/>
            <family val="2"/>
          </rPr>
          <t xml:space="preserve">
Dependent on the utilization of the vehicle.</t>
        </r>
      </text>
    </comment>
    <comment ref="X340" authorId="0" shapeId="0">
      <text>
        <r>
          <rPr>
            <b/>
            <sz val="9"/>
            <color indexed="81"/>
            <rFont val="Tahoma"/>
            <family val="2"/>
          </rPr>
          <t>Author:</t>
        </r>
        <r>
          <rPr>
            <sz val="9"/>
            <color indexed="81"/>
            <rFont val="Tahoma"/>
            <family val="2"/>
          </rPr>
          <t xml:space="preserve">
Mechanical energy required to move the vehicle.</t>
        </r>
      </text>
    </comment>
    <comment ref="Y340" authorId="0" shapeId="0">
      <text>
        <r>
          <rPr>
            <b/>
            <sz val="9"/>
            <color indexed="81"/>
            <rFont val="Tahoma"/>
            <family val="2"/>
          </rPr>
          <t>Author:</t>
        </r>
        <r>
          <rPr>
            <sz val="9"/>
            <color indexed="81"/>
            <rFont val="Tahoma"/>
            <family val="2"/>
          </rPr>
          <t xml:space="preserve">
Amount of mechanical  energy required pr. input of fuel
 </t>
        </r>
      </text>
    </comment>
    <comment ref="T341"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Y342"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346"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353" authorId="0" shapeId="0">
      <text>
        <r>
          <rPr>
            <b/>
            <sz val="9"/>
            <color indexed="81"/>
            <rFont val="Tahoma"/>
            <family val="2"/>
          </rPr>
          <t>Author:</t>
        </r>
        <r>
          <rPr>
            <sz val="9"/>
            <color indexed="81"/>
            <rFont val="Tahoma"/>
            <family val="2"/>
          </rPr>
          <t xml:space="preserve">
Assesed based on trafic work for national transport work.</t>
        </r>
      </text>
    </comment>
    <comment ref="Y354"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358"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365"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S366" authorId="0" shapeId="0">
      <text>
        <r>
          <rPr>
            <b/>
            <sz val="9"/>
            <color indexed="81"/>
            <rFont val="Tahoma"/>
            <family val="2"/>
          </rPr>
          <t>Author:</t>
        </r>
        <r>
          <rPr>
            <sz val="9"/>
            <color indexed="81"/>
            <rFont val="Tahoma"/>
            <family val="2"/>
          </rPr>
          <t xml:space="preserve">
Calculated using efficiencies of petrol/diesel vans</t>
        </r>
      </text>
    </comment>
    <comment ref="Y368"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Y374"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A396" authorId="0" shapeId="0">
      <text>
        <r>
          <rPr>
            <b/>
            <sz val="9"/>
            <color indexed="81"/>
            <rFont val="Tahoma"/>
            <family val="2"/>
          </rPr>
          <t>Author:</t>
        </r>
        <r>
          <rPr>
            <sz val="9"/>
            <color indexed="81"/>
            <rFont val="Tahoma"/>
            <family val="2"/>
          </rPr>
          <t xml:space="preserve">
Assummed to be identicle with regular aircraft development
</t>
        </r>
      </text>
    </comment>
    <comment ref="AA397" authorId="0" shapeId="0">
      <text>
        <r>
          <rPr>
            <b/>
            <sz val="9"/>
            <color indexed="81"/>
            <rFont val="Tahoma"/>
            <family val="2"/>
          </rPr>
          <t>Author:</t>
        </r>
        <r>
          <rPr>
            <sz val="9"/>
            <color indexed="81"/>
            <rFont val="Tahoma"/>
            <family val="2"/>
          </rPr>
          <t xml:space="preserve">
Assummed to be identicle with regular aircraft development
</t>
        </r>
      </text>
    </comment>
    <comment ref="AA400" authorId="0" shapeId="0">
      <text>
        <r>
          <rPr>
            <b/>
            <sz val="9"/>
            <color indexed="81"/>
            <rFont val="Tahoma"/>
            <family val="2"/>
          </rPr>
          <t>Author:</t>
        </r>
        <r>
          <rPr>
            <sz val="9"/>
            <color indexed="81"/>
            <rFont val="Tahoma"/>
            <family val="2"/>
          </rPr>
          <t xml:space="preserve">
Assummed to be identicle with regular aircraft development
</t>
        </r>
      </text>
    </comment>
    <comment ref="AA401" authorId="0" shapeId="0">
      <text>
        <r>
          <rPr>
            <b/>
            <sz val="9"/>
            <color indexed="81"/>
            <rFont val="Tahoma"/>
            <family val="2"/>
          </rPr>
          <t>Author:</t>
        </r>
        <r>
          <rPr>
            <sz val="9"/>
            <color indexed="81"/>
            <rFont val="Tahoma"/>
            <family val="2"/>
          </rPr>
          <t xml:space="preserve">
Assummed to be identicle with regular aircraft development
</t>
        </r>
      </text>
    </comment>
    <comment ref="C414" authorId="0" shapeId="0">
      <text>
        <r>
          <rPr>
            <b/>
            <sz val="9"/>
            <color indexed="81"/>
            <rFont val="Tahoma"/>
            <family val="2"/>
          </rPr>
          <t>Author:</t>
        </r>
        <r>
          <rPr>
            <sz val="9"/>
            <color indexed="81"/>
            <rFont val="Tahoma"/>
            <family val="2"/>
          </rPr>
          <t xml:space="preserve">
14 TJ petrol in aviation and ICEs assummed to be diesel</t>
        </r>
      </text>
    </comment>
    <comment ref="U415"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417"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U418"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419"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X424"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424" authorId="0" shapeId="0">
      <text>
        <r>
          <rPr>
            <b/>
            <sz val="9"/>
            <color indexed="81"/>
            <rFont val="Tahoma"/>
            <family val="2"/>
          </rPr>
          <t>Author:</t>
        </r>
        <r>
          <rPr>
            <sz val="9"/>
            <color indexed="81"/>
            <rFont val="Tahoma"/>
            <family val="2"/>
          </rPr>
          <t xml:space="preserve">
Total fuel to wheel efficiency of the vehicle in different formats.</t>
        </r>
      </text>
    </comment>
    <comment ref="AC424" authorId="0" shapeId="0">
      <text>
        <r>
          <rPr>
            <b/>
            <sz val="9"/>
            <color indexed="81"/>
            <rFont val="Tahoma"/>
            <family val="2"/>
          </rPr>
          <t>Author:</t>
        </r>
        <r>
          <rPr>
            <sz val="9"/>
            <color indexed="81"/>
            <rFont val="Tahoma"/>
            <family val="2"/>
          </rPr>
          <t xml:space="preserve">
Dependent on the utilization of the vehicle.</t>
        </r>
      </text>
    </comment>
    <comment ref="X425" authorId="0" shapeId="0">
      <text>
        <r>
          <rPr>
            <b/>
            <sz val="9"/>
            <color indexed="81"/>
            <rFont val="Tahoma"/>
            <family val="2"/>
          </rPr>
          <t>Author:</t>
        </r>
        <r>
          <rPr>
            <sz val="9"/>
            <color indexed="81"/>
            <rFont val="Tahoma"/>
            <family val="2"/>
          </rPr>
          <t xml:space="preserve">
Mechanical energy required to move the vehicle.</t>
        </r>
      </text>
    </comment>
    <comment ref="Y425" authorId="0" shapeId="0">
      <text>
        <r>
          <rPr>
            <b/>
            <sz val="9"/>
            <color indexed="81"/>
            <rFont val="Tahoma"/>
            <family val="2"/>
          </rPr>
          <t>Author:</t>
        </r>
        <r>
          <rPr>
            <sz val="9"/>
            <color indexed="81"/>
            <rFont val="Tahoma"/>
            <family val="2"/>
          </rPr>
          <t xml:space="preserve">
Amount of mechanical  energy required pr. input of fuel
 </t>
        </r>
      </text>
    </comment>
    <comment ref="C426" authorId="0" shapeId="0">
      <text>
        <r>
          <rPr>
            <b/>
            <sz val="12"/>
            <color indexed="81"/>
            <rFont val="Tahoma"/>
            <family val="2"/>
          </rPr>
          <t>Author:</t>
        </r>
        <r>
          <rPr>
            <sz val="12"/>
            <color indexed="81"/>
            <rFont val="Tahoma"/>
            <family val="2"/>
          </rPr>
          <t xml:space="preserve">
Den internationale del er inkluderet heri og udgør ca 4% af totalen.</t>
        </r>
      </text>
    </comment>
    <comment ref="T426"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C427" authorId="0" shapeId="0">
      <text>
        <r>
          <rPr>
            <b/>
            <sz val="9"/>
            <color indexed="81"/>
            <rFont val="Tahoma"/>
            <family val="2"/>
          </rPr>
          <t>Author:</t>
        </r>
        <r>
          <rPr>
            <sz val="9"/>
            <color indexed="81"/>
            <rFont val="Tahoma"/>
            <family val="2"/>
          </rPr>
          <t xml:space="preserve">
Andele er udregnet fra TU 2006-2010 data</t>
        </r>
      </text>
    </comment>
    <comment ref="S427" authorId="0" shapeId="0">
      <text>
        <r>
          <rPr>
            <b/>
            <sz val="9"/>
            <color indexed="81"/>
            <rFont val="Tahoma"/>
            <family val="2"/>
          </rPr>
          <t>Author:</t>
        </r>
        <r>
          <rPr>
            <sz val="9"/>
            <color indexed="81"/>
            <rFont val="Tahoma"/>
            <family val="2"/>
          </rPr>
          <t xml:space="preserve">
Calculated using efficiencies of petrol/diesel vans</t>
        </r>
      </text>
    </comment>
    <comment ref="X429" authorId="0" shapeId="0">
      <text>
        <r>
          <rPr>
            <b/>
            <sz val="9"/>
            <color indexed="81"/>
            <rFont val="Tahoma"/>
            <family val="2"/>
          </rPr>
          <t>Author:</t>
        </r>
        <r>
          <rPr>
            <sz val="9"/>
            <color indexed="81"/>
            <rFont val="Tahoma"/>
            <family val="2"/>
          </rPr>
          <t xml:space="preserve">
Assummed identicle with reg. Diesel vehicle
</t>
        </r>
      </text>
    </comment>
    <comment ref="AA429"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430" authorId="0" shapeId="0">
      <text>
        <r>
          <rPr>
            <b/>
            <sz val="9"/>
            <color indexed="81"/>
            <rFont val="Tahoma"/>
            <family val="2"/>
          </rPr>
          <t>Author:</t>
        </r>
        <r>
          <rPr>
            <sz val="9"/>
            <color indexed="81"/>
            <rFont val="Tahoma"/>
            <family val="2"/>
          </rPr>
          <t xml:space="preserve">
Assummed identicle with reg. Diesel vehicle
</t>
        </r>
      </text>
    </comment>
    <comment ref="X435" authorId="0" shapeId="0">
      <text>
        <r>
          <rPr>
            <b/>
            <sz val="9"/>
            <color indexed="81"/>
            <rFont val="Tahoma"/>
            <family val="2"/>
          </rPr>
          <t>Author:</t>
        </r>
        <r>
          <rPr>
            <sz val="9"/>
            <color indexed="81"/>
            <rFont val="Tahoma"/>
            <family val="2"/>
          </rPr>
          <t xml:space="preserve">
Assummed identicle with reg. Diesel vehicle
</t>
        </r>
      </text>
    </comment>
    <comment ref="AA435"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 - adjusted with hybrid development
</t>
        </r>
      </text>
    </comment>
    <comment ref="X436" authorId="0" shapeId="0">
      <text>
        <r>
          <rPr>
            <b/>
            <sz val="9"/>
            <color indexed="81"/>
            <rFont val="Tahoma"/>
            <family val="2"/>
          </rPr>
          <t>Author:</t>
        </r>
        <r>
          <rPr>
            <sz val="9"/>
            <color indexed="81"/>
            <rFont val="Tahoma"/>
            <family val="2"/>
          </rPr>
          <t xml:space="preserve">
Assummed identicle with reg. Diesel vehicle
</t>
        </r>
      </text>
    </comment>
    <comment ref="X440" authorId="0" shapeId="0">
      <text>
        <r>
          <rPr>
            <b/>
            <sz val="9"/>
            <color indexed="81"/>
            <rFont val="Tahoma"/>
            <family val="2"/>
          </rPr>
          <t>Author:</t>
        </r>
        <r>
          <rPr>
            <sz val="9"/>
            <color indexed="81"/>
            <rFont val="Tahoma"/>
            <family val="2"/>
          </rPr>
          <t xml:space="preserve">
The specific energy consumption is assumed to be identicle with BEV.
</t>
        </r>
      </text>
    </comment>
    <comment ref="X441" authorId="0" shapeId="0">
      <text>
        <r>
          <rPr>
            <b/>
            <sz val="9"/>
            <color indexed="81"/>
            <rFont val="Tahoma"/>
            <family val="2"/>
          </rPr>
          <t>Author:</t>
        </r>
        <r>
          <rPr>
            <sz val="9"/>
            <color indexed="81"/>
            <rFont val="Tahoma"/>
            <family val="2"/>
          </rPr>
          <t xml:space="preserve">
The specific energy consumption is assumed to be identicle with BEV.
</t>
        </r>
      </text>
    </comment>
    <comment ref="X443" authorId="0" shapeId="0">
      <text>
        <r>
          <rPr>
            <b/>
            <sz val="9"/>
            <color indexed="81"/>
            <rFont val="Tahoma"/>
            <family val="2"/>
          </rPr>
          <t>Author:</t>
        </r>
        <r>
          <rPr>
            <sz val="9"/>
            <color indexed="81"/>
            <rFont val="Tahoma"/>
            <family val="2"/>
          </rPr>
          <t xml:space="preserve">
Calculeted using  distribution between petrol and diesel</t>
        </r>
      </text>
    </comment>
    <comment ref="AB443" authorId="0" shapeId="0">
      <text>
        <r>
          <rPr>
            <b/>
            <sz val="9"/>
            <color indexed="81"/>
            <rFont val="Tahoma"/>
            <family val="2"/>
          </rPr>
          <t>Author:</t>
        </r>
        <r>
          <rPr>
            <sz val="9"/>
            <color indexed="81"/>
            <rFont val="Tahoma"/>
            <family val="2"/>
          </rPr>
          <t xml:space="preserve">
Avarege based on statistics from DEA.</t>
        </r>
      </text>
    </comment>
    <comment ref="T444" authorId="0" shapeId="0">
      <text>
        <r>
          <rPr>
            <b/>
            <sz val="9"/>
            <color indexed="81"/>
            <rFont val="Tahoma"/>
            <family val="2"/>
          </rPr>
          <t>Author:</t>
        </r>
        <r>
          <rPr>
            <sz val="9"/>
            <color indexed="81"/>
            <rFont val="Tahoma"/>
            <family val="2"/>
          </rPr>
          <t xml:space="preserve">
. Number calculated based on Statistics Denmark 2010. Adjusted with pkm.
</t>
        </r>
      </text>
    </comment>
    <comment ref="C446" authorId="0" shapeId="0">
      <text>
        <r>
          <rPr>
            <b/>
            <sz val="9"/>
            <color indexed="81"/>
            <rFont val="Tahoma"/>
            <family val="2"/>
          </rPr>
          <t>Author:</t>
        </r>
        <r>
          <rPr>
            <sz val="9"/>
            <color indexed="81"/>
            <rFont val="Tahoma"/>
            <family val="2"/>
          </rPr>
          <t xml:space="preserve">
Fordeling er udarbejdet med udgangspunkt i DSB´s materiel (se data input side)</t>
        </r>
      </text>
    </comment>
    <comment ref="C448" authorId="0" shapeId="0">
      <text>
        <r>
          <rPr>
            <b/>
            <sz val="9"/>
            <color indexed="81"/>
            <rFont val="Tahoma"/>
            <family val="2"/>
          </rPr>
          <t>Author:</t>
        </r>
        <r>
          <rPr>
            <sz val="9"/>
            <color indexed="81"/>
            <rFont val="Tahoma"/>
            <family val="2"/>
          </rPr>
          <t xml:space="preserve">
Antagelse: 100% el</t>
        </r>
      </text>
    </comment>
    <comment ref="T450" authorId="0" shapeId="0">
      <text>
        <r>
          <rPr>
            <b/>
            <sz val="9"/>
            <color indexed="81"/>
            <rFont val="Tahoma"/>
            <family val="2"/>
          </rPr>
          <t>Author:</t>
        </r>
        <r>
          <rPr>
            <sz val="9"/>
            <color indexed="81"/>
            <rFont val="Tahoma"/>
            <family val="2"/>
          </rPr>
          <t xml:space="preserve">
. Number calculated based on Statistics Denmark 2010. Adjusted with pkm.
</t>
        </r>
      </text>
    </comment>
    <comment ref="X452" authorId="0" shapeId="0">
      <text>
        <r>
          <rPr>
            <b/>
            <sz val="9"/>
            <color indexed="81"/>
            <rFont val="Tahoma"/>
            <family val="2"/>
          </rPr>
          <t>Author:</t>
        </r>
        <r>
          <rPr>
            <sz val="9"/>
            <color indexed="81"/>
            <rFont val="Tahoma"/>
            <family val="2"/>
          </rPr>
          <t xml:space="preserve">
Assummed identicle with reg. Electric bus
</t>
        </r>
      </text>
    </comment>
    <comment ref="Y452" authorId="0" shapeId="0">
      <text>
        <r>
          <rPr>
            <b/>
            <sz val="9"/>
            <color indexed="81"/>
            <rFont val="Tahoma"/>
            <family val="2"/>
          </rPr>
          <t>Author:</t>
        </r>
        <r>
          <rPr>
            <sz val="9"/>
            <color indexed="81"/>
            <rFont val="Tahoma"/>
            <family val="2"/>
          </rPr>
          <t xml:space="preserve">
Effeciency for busses assumed the same as for Fuel cell vehicles
</t>
        </r>
      </text>
    </comment>
    <comment ref="X454" authorId="0" shapeId="0">
      <text>
        <r>
          <rPr>
            <b/>
            <sz val="9"/>
            <color indexed="81"/>
            <rFont val="Tahoma"/>
            <family val="2"/>
          </rPr>
          <t>Author:</t>
        </r>
        <r>
          <rPr>
            <sz val="9"/>
            <color indexed="81"/>
            <rFont val="Tahoma"/>
            <family val="2"/>
          </rPr>
          <t xml:space="preserve">
Assummed identicle with reg. Diesel bus
</t>
        </r>
      </text>
    </comment>
    <comment ref="Y454"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X455" authorId="0" shapeId="0">
      <text>
        <r>
          <rPr>
            <b/>
            <sz val="9"/>
            <color indexed="81"/>
            <rFont val="Tahoma"/>
            <family val="2"/>
          </rPr>
          <t>Author:</t>
        </r>
        <r>
          <rPr>
            <sz val="9"/>
            <color indexed="81"/>
            <rFont val="Tahoma"/>
            <family val="2"/>
          </rPr>
          <t xml:space="preserve">
Assummed identicle with reg. Diesel bus
</t>
        </r>
      </text>
    </comment>
    <comment ref="Y455" authorId="0" shapeId="0">
      <text>
        <r>
          <rPr>
            <b/>
            <sz val="9"/>
            <color indexed="81"/>
            <rFont val="Tahoma"/>
            <family val="2"/>
          </rPr>
          <t>Author:</t>
        </r>
        <r>
          <rPr>
            <sz val="9"/>
            <color indexed="81"/>
            <rFont val="Tahoma"/>
            <family val="2"/>
          </rPr>
          <t xml:space="preserve">
Effeciency assummed identicle with the improvement for vehicles with hybrids</t>
        </r>
      </text>
    </comment>
    <comment ref="AA467" authorId="0" shapeId="0">
      <text>
        <r>
          <rPr>
            <b/>
            <sz val="9"/>
            <color indexed="81"/>
            <rFont val="Tahoma"/>
            <family val="2"/>
          </rPr>
          <t>Author:</t>
        </r>
        <r>
          <rPr>
            <sz val="9"/>
            <color indexed="81"/>
            <rFont val="Tahoma"/>
            <family val="2"/>
          </rPr>
          <t xml:space="preserve">
Assummed to be identicle with regular aircraft development
</t>
        </r>
      </text>
    </comment>
    <comment ref="AA468" authorId="0" shapeId="0">
      <text>
        <r>
          <rPr>
            <b/>
            <sz val="9"/>
            <color indexed="81"/>
            <rFont val="Tahoma"/>
            <family val="2"/>
          </rPr>
          <t>Author:</t>
        </r>
        <r>
          <rPr>
            <sz val="9"/>
            <color indexed="81"/>
            <rFont val="Tahoma"/>
            <family val="2"/>
          </rPr>
          <t xml:space="preserve">
Assummed to be identicle with regular aircraft development
</t>
        </r>
      </text>
    </comment>
    <comment ref="K469" authorId="0" shapeId="0">
      <text>
        <r>
          <rPr>
            <b/>
            <sz val="8"/>
            <color indexed="81"/>
            <rFont val="Tahoma"/>
            <family val="2"/>
          </rPr>
          <t>Author:</t>
        </r>
        <r>
          <rPr>
            <sz val="8"/>
            <color indexed="81"/>
            <rFont val="Tahoma"/>
            <family val="2"/>
          </rPr>
          <t xml:space="preserve">
Forskellen i energiforbrug er udregnet med udgangspunkt i data om energiforbrug på forskellige turlængder. På ture over 1000km er det specifikke energiforbrug 75% af det tilsvarende for ture under 1000km. Kilde: Baggrundsrapport Ecopassenger</t>
        </r>
      </text>
    </comment>
    <comment ref="X479" authorId="0" shapeId="0">
      <text>
        <r>
          <rPr>
            <b/>
            <sz val="9"/>
            <color indexed="81"/>
            <rFont val="Tahoma"/>
            <family val="2"/>
          </rPr>
          <t>Author:</t>
        </r>
        <r>
          <rPr>
            <sz val="9"/>
            <color indexed="81"/>
            <rFont val="Tahoma"/>
            <family val="2"/>
          </rPr>
          <t xml:space="preserve">
The amount of energy required to move the vehicle. Dependent on weight and design e.g. drag.</t>
        </r>
      </text>
    </comment>
    <comment ref="Z479" authorId="0" shapeId="0">
      <text>
        <r>
          <rPr>
            <b/>
            <sz val="9"/>
            <color indexed="81"/>
            <rFont val="Tahoma"/>
            <family val="2"/>
          </rPr>
          <t>Author:</t>
        </r>
        <r>
          <rPr>
            <sz val="9"/>
            <color indexed="81"/>
            <rFont val="Tahoma"/>
            <family val="2"/>
          </rPr>
          <t xml:space="preserve">
Total fuel to wheel efficiency of the vehicle in different formats.</t>
        </r>
      </text>
    </comment>
    <comment ref="AC479" authorId="0" shapeId="0">
      <text>
        <r>
          <rPr>
            <b/>
            <sz val="9"/>
            <color indexed="81"/>
            <rFont val="Tahoma"/>
            <family val="2"/>
          </rPr>
          <t>Author:</t>
        </r>
        <r>
          <rPr>
            <sz val="9"/>
            <color indexed="81"/>
            <rFont val="Tahoma"/>
            <family val="2"/>
          </rPr>
          <t xml:space="preserve">
Dependent on the utilization of the vehicle.</t>
        </r>
      </text>
    </comment>
    <comment ref="X480" authorId="0" shapeId="0">
      <text>
        <r>
          <rPr>
            <b/>
            <sz val="9"/>
            <color indexed="81"/>
            <rFont val="Tahoma"/>
            <family val="2"/>
          </rPr>
          <t>Author:</t>
        </r>
        <r>
          <rPr>
            <sz val="9"/>
            <color indexed="81"/>
            <rFont val="Tahoma"/>
            <family val="2"/>
          </rPr>
          <t xml:space="preserve">
Mechanical energy required to move the vehicle.</t>
        </r>
      </text>
    </comment>
    <comment ref="Y480" authorId="0" shapeId="0">
      <text>
        <r>
          <rPr>
            <b/>
            <sz val="9"/>
            <color indexed="81"/>
            <rFont val="Tahoma"/>
            <family val="2"/>
          </rPr>
          <t>Author:</t>
        </r>
        <r>
          <rPr>
            <sz val="9"/>
            <color indexed="81"/>
            <rFont val="Tahoma"/>
            <family val="2"/>
          </rPr>
          <t xml:space="preserve">
Amount of mechanical  energy required pr. input of fuel
 </t>
        </r>
      </text>
    </comment>
    <comment ref="T481"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Y482"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486"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493" authorId="0" shapeId="0">
      <text>
        <r>
          <rPr>
            <b/>
            <sz val="9"/>
            <color indexed="81"/>
            <rFont val="Tahoma"/>
            <family val="2"/>
          </rPr>
          <t>Author:</t>
        </r>
        <r>
          <rPr>
            <sz val="9"/>
            <color indexed="81"/>
            <rFont val="Tahoma"/>
            <family val="2"/>
          </rPr>
          <t xml:space="preserve">
Assesed based on trafic work for national transport work.</t>
        </r>
      </text>
    </comment>
    <comment ref="Y494"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Y498" authorId="0" shapeId="0">
      <text>
        <r>
          <rPr>
            <b/>
            <sz val="9"/>
            <color indexed="81"/>
            <rFont val="Tahoma"/>
            <family val="2"/>
          </rPr>
          <t>Author:</t>
        </r>
        <r>
          <rPr>
            <sz val="9"/>
            <color indexed="81"/>
            <rFont val="Tahoma"/>
            <family val="2"/>
          </rPr>
          <t xml:space="preserve">
Assumed to have the same relation as for vehicles. However this is strongly dependent distences travelled.</t>
        </r>
      </text>
    </comment>
    <comment ref="T505" authorId="0" shapeId="0">
      <text>
        <r>
          <rPr>
            <b/>
            <sz val="9"/>
            <color indexed="81"/>
            <rFont val="Tahoma"/>
            <family val="2"/>
          </rPr>
          <t>Author:</t>
        </r>
        <r>
          <rPr>
            <sz val="9"/>
            <color indexed="81"/>
            <rFont val="Tahoma"/>
            <family val="2"/>
          </rPr>
          <t xml:space="preserve">
Total no of vehilces from statistics Denmark 2010 adjusted by no. of pkm and 1% increase in no. of km pr. year (10y).
</t>
        </r>
      </text>
    </comment>
    <comment ref="S506" authorId="0" shapeId="0">
      <text>
        <r>
          <rPr>
            <b/>
            <sz val="9"/>
            <color indexed="81"/>
            <rFont val="Tahoma"/>
            <family val="2"/>
          </rPr>
          <t>Author:</t>
        </r>
        <r>
          <rPr>
            <sz val="9"/>
            <color indexed="81"/>
            <rFont val="Tahoma"/>
            <family val="2"/>
          </rPr>
          <t xml:space="preserve">
Calculated using efficiencies of petrol/diesel vans</t>
        </r>
      </text>
    </comment>
    <comment ref="Y508"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Y514" authorId="0" shapeId="0">
      <text>
        <r>
          <rPr>
            <b/>
            <sz val="9"/>
            <color indexed="81"/>
            <rFont val="Tahoma"/>
            <family val="2"/>
          </rPr>
          <t>Author:</t>
        </r>
        <r>
          <rPr>
            <sz val="9"/>
            <color indexed="81"/>
            <rFont val="Tahoma"/>
            <family val="2"/>
          </rPr>
          <t xml:space="preserve">
Based on Peugeot 3008 HYbrid4, to be launched in the European market in early 2011 and it will be the world's first production diesel-electric hybrid. According to Peugeot the new hybrid delivers a fuel economy of up to 62 miles per US gallon (3.8 L/100 km; 74 mpg-imp)</t>
        </r>
      </text>
    </comment>
    <comment ref="AA536" authorId="0" shapeId="0">
      <text>
        <r>
          <rPr>
            <b/>
            <sz val="9"/>
            <color indexed="81"/>
            <rFont val="Tahoma"/>
            <family val="2"/>
          </rPr>
          <t>Author:</t>
        </r>
        <r>
          <rPr>
            <sz val="9"/>
            <color indexed="81"/>
            <rFont val="Tahoma"/>
            <family val="2"/>
          </rPr>
          <t xml:space="preserve">
Assummed to be identicle with regular aircraft development
</t>
        </r>
      </text>
    </comment>
    <comment ref="AA537" authorId="0" shapeId="0">
      <text>
        <r>
          <rPr>
            <b/>
            <sz val="9"/>
            <color indexed="81"/>
            <rFont val="Tahoma"/>
            <family val="2"/>
          </rPr>
          <t>Author:</t>
        </r>
        <r>
          <rPr>
            <sz val="9"/>
            <color indexed="81"/>
            <rFont val="Tahoma"/>
            <family val="2"/>
          </rPr>
          <t xml:space="preserve">
Assummed to be identicle with regular aircraft development
</t>
        </r>
      </text>
    </comment>
    <comment ref="AA540" authorId="0" shapeId="0">
      <text>
        <r>
          <rPr>
            <b/>
            <sz val="9"/>
            <color indexed="81"/>
            <rFont val="Tahoma"/>
            <family val="2"/>
          </rPr>
          <t>Author:</t>
        </r>
        <r>
          <rPr>
            <sz val="9"/>
            <color indexed="81"/>
            <rFont val="Tahoma"/>
            <family val="2"/>
          </rPr>
          <t xml:space="preserve">
Assummed to be identicle with regular aircraft development
</t>
        </r>
      </text>
    </comment>
    <comment ref="AA541" authorId="0" shapeId="0">
      <text>
        <r>
          <rPr>
            <b/>
            <sz val="9"/>
            <color indexed="81"/>
            <rFont val="Tahoma"/>
            <family val="2"/>
          </rPr>
          <t>Author:</t>
        </r>
        <r>
          <rPr>
            <sz val="9"/>
            <color indexed="81"/>
            <rFont val="Tahoma"/>
            <family val="2"/>
          </rPr>
          <t xml:space="preserve">
Assummed to be identicle with regular aircraft development
</t>
        </r>
      </text>
    </comment>
    <comment ref="C554" authorId="0" shapeId="0">
      <text>
        <r>
          <rPr>
            <b/>
            <sz val="9"/>
            <color indexed="81"/>
            <rFont val="Tahoma"/>
            <family val="2"/>
          </rPr>
          <t>Author:</t>
        </r>
        <r>
          <rPr>
            <sz val="9"/>
            <color indexed="81"/>
            <rFont val="Tahoma"/>
            <family val="2"/>
          </rPr>
          <t xml:space="preserve">
14 TJ petrol in aviation and ICEs assummed to be diesel</t>
        </r>
      </text>
    </comment>
    <comment ref="U555"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557"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 ref="U558" authorId="0" shapeId="0">
      <text>
        <r>
          <rPr>
            <b/>
            <sz val="9"/>
            <color indexed="81"/>
            <rFont val="Tahoma"/>
            <family val="2"/>
          </rPr>
          <t>Author:</t>
        </r>
        <r>
          <rPr>
            <sz val="9"/>
            <color indexed="81"/>
            <rFont val="Tahoma"/>
            <family val="2"/>
          </rPr>
          <t xml:space="preserve">
Allthough hybirdisation should mean an improvement in efficiency no improvements have been included due to lack of data</t>
        </r>
      </text>
    </comment>
    <comment ref="U559" authorId="0" shapeId="0">
      <text>
        <r>
          <rPr>
            <b/>
            <sz val="9"/>
            <color indexed="81"/>
            <rFont val="Tahoma"/>
            <family val="2"/>
          </rPr>
          <t>Author:</t>
        </r>
        <r>
          <rPr>
            <sz val="9"/>
            <color indexed="81"/>
            <rFont val="Tahoma"/>
            <family val="2"/>
          </rPr>
          <t xml:space="preserve">
Allthough a change to fuel cells could mean an improvement in the efficiency - no improveents have been implemented due to lack of data.</t>
        </r>
      </text>
    </comment>
  </commentList>
</comments>
</file>

<file path=xl/comments3.xml><?xml version="1.0" encoding="utf-8"?>
<comments xmlns="http://schemas.openxmlformats.org/spreadsheetml/2006/main">
  <authors>
    <author>Author</author>
  </authors>
  <commentList>
    <comment ref="A7" authorId="0" shapeId="0">
      <text>
        <r>
          <rPr>
            <b/>
            <sz val="12"/>
            <color indexed="81"/>
            <rFont val="Tahoma"/>
            <family val="2"/>
          </rPr>
          <t>Author:</t>
        </r>
        <r>
          <rPr>
            <sz val="12"/>
            <color indexed="81"/>
            <rFont val="Tahoma"/>
            <family val="2"/>
          </rPr>
          <t xml:space="preserve">
Den internationale del er inkluderet heri og udgør ca 4% af totalen.</t>
        </r>
      </text>
    </comment>
    <comment ref="A8" authorId="0" shapeId="0">
      <text>
        <r>
          <rPr>
            <b/>
            <sz val="9"/>
            <color indexed="81"/>
            <rFont val="Tahoma"/>
            <family val="2"/>
          </rPr>
          <t>Author:</t>
        </r>
        <r>
          <rPr>
            <sz val="9"/>
            <color indexed="81"/>
            <rFont val="Tahoma"/>
            <family val="2"/>
          </rPr>
          <t xml:space="preserve">
Andele er udregnet fra TU 2006-2010 data</t>
        </r>
      </text>
    </comment>
    <comment ref="A23" authorId="0" shapeId="0">
      <text>
        <r>
          <rPr>
            <b/>
            <sz val="9"/>
            <color indexed="81"/>
            <rFont val="Tahoma"/>
            <family val="2"/>
          </rPr>
          <t>Author:</t>
        </r>
        <r>
          <rPr>
            <sz val="9"/>
            <color indexed="81"/>
            <rFont val="Tahoma"/>
            <family val="2"/>
          </rPr>
          <t xml:space="preserve">
Fordeling er udarbejdet med udgangspunkt i DSB´s materiel (se data input side)</t>
        </r>
      </text>
    </comment>
    <comment ref="A25" authorId="0" shapeId="0">
      <text>
        <r>
          <rPr>
            <b/>
            <sz val="9"/>
            <color indexed="81"/>
            <rFont val="Tahoma"/>
            <family val="2"/>
          </rPr>
          <t>Author:</t>
        </r>
        <r>
          <rPr>
            <sz val="9"/>
            <color indexed="81"/>
            <rFont val="Tahoma"/>
            <family val="2"/>
          </rPr>
          <t xml:space="preserve">
Antagelse: 100% el</t>
        </r>
      </text>
    </comment>
    <comment ref="A33" authorId="0" shapeId="0">
      <text>
        <r>
          <rPr>
            <b/>
            <sz val="8"/>
            <color indexed="81"/>
            <rFont val="Tahoma"/>
            <family val="2"/>
          </rPr>
          <t>Author:</t>
        </r>
        <r>
          <rPr>
            <sz val="8"/>
            <color indexed="81"/>
            <rFont val="Tahoma"/>
            <family val="2"/>
          </rPr>
          <t xml:space="preserve">
Kilde Incentives partners - opgørelse af udlandsandele for lastbiler og turistbusser</t>
        </r>
      </text>
    </comment>
    <comment ref="I72" authorId="0" shapeId="0">
      <text>
        <r>
          <rPr>
            <b/>
            <sz val="9"/>
            <color indexed="81"/>
            <rFont val="Tahoma"/>
            <family val="2"/>
          </rPr>
          <t>Author:</t>
        </r>
        <r>
          <rPr>
            <sz val="9"/>
            <color indexed="81"/>
            <rFont val="Tahoma"/>
            <family val="2"/>
          </rPr>
          <t xml:space="preserve">
Avarege of 2030 and 2050 value</t>
        </r>
      </text>
    </comment>
    <comment ref="B85" authorId="0" shapeId="0">
      <text>
        <r>
          <rPr>
            <b/>
            <sz val="9"/>
            <color indexed="81"/>
            <rFont val="Tahoma"/>
            <family val="2"/>
          </rPr>
          <t>Author:</t>
        </r>
        <r>
          <rPr>
            <sz val="9"/>
            <color indexed="81"/>
            <rFont val="Tahoma"/>
            <family val="2"/>
          </rPr>
          <t xml:space="preserve">
Identical with pkm
</t>
        </r>
      </text>
    </comment>
    <comment ref="I96" authorId="0" shapeId="0">
      <text>
        <r>
          <rPr>
            <b/>
            <sz val="9"/>
            <color indexed="81"/>
            <rFont val="Tahoma"/>
            <family val="2"/>
          </rPr>
          <t>Author:</t>
        </r>
        <r>
          <rPr>
            <sz val="9"/>
            <color indexed="81"/>
            <rFont val="Tahoma"/>
            <family val="2"/>
          </rPr>
          <t xml:space="preserve">
We cannot assume a constant maintance costs because in the past we have used the road capital, and this policy cannot continue. Some things are depending on transport km and some are independent of the no. of km. The factor defines the realtion between growth in transport work and costs. </t>
        </r>
      </text>
    </comment>
    <comment ref="B99" authorId="0" shapeId="0">
      <text>
        <r>
          <rPr>
            <b/>
            <sz val="9"/>
            <color indexed="81"/>
            <rFont val="Tahoma"/>
            <family val="2"/>
          </rPr>
          <t>Author:</t>
        </r>
        <r>
          <rPr>
            <sz val="9"/>
            <color indexed="81"/>
            <rFont val="Tahoma"/>
            <family val="2"/>
          </rPr>
          <t xml:space="preserve">
Based on 2007-2010 
data from Rail Denmark (BaneDanmark)
</t>
        </r>
      </text>
    </comment>
    <comment ref="B101" authorId="0" shapeId="0">
      <text>
        <r>
          <rPr>
            <b/>
            <sz val="9"/>
            <color indexed="81"/>
            <rFont val="Tahoma"/>
            <family val="2"/>
          </rPr>
          <t>Author:</t>
        </r>
        <r>
          <rPr>
            <sz val="9"/>
            <color indexed="81"/>
            <rFont val="Tahoma"/>
            <family val="2"/>
          </rPr>
          <t xml:space="preserve">
Based on 1998-2009 data from Rail Denmark (BaneDanmark)
</t>
        </r>
      </text>
    </comment>
    <comment ref="B107" authorId="0" shapeId="0">
      <text>
        <r>
          <rPr>
            <b/>
            <sz val="9"/>
            <color indexed="81"/>
            <rFont val="Tahoma"/>
            <family val="2"/>
          </rPr>
          <t>Author:</t>
        </r>
        <r>
          <rPr>
            <sz val="9"/>
            <color indexed="81"/>
            <rFont val="Tahoma"/>
            <family val="2"/>
          </rPr>
          <t xml:space="preserve">
Costs of the Øresund and Great Belt bridges
</t>
        </r>
      </text>
    </comment>
    <comment ref="B108" authorId="0" shapeId="0">
      <text>
        <r>
          <rPr>
            <b/>
            <sz val="9"/>
            <color indexed="81"/>
            <rFont val="Tahoma"/>
            <family val="2"/>
          </rPr>
          <t>Author:</t>
        </r>
        <r>
          <rPr>
            <sz val="9"/>
            <color indexed="81"/>
            <rFont val="Tahoma"/>
            <family val="2"/>
          </rPr>
          <t xml:space="preserve">
Costs of the Fermen Øresund and Great Belt bridges
</t>
        </r>
      </text>
    </comment>
    <comment ref="B127" authorId="0" shapeId="0">
      <text>
        <r>
          <rPr>
            <b/>
            <sz val="9"/>
            <color indexed="81"/>
            <rFont val="Tahoma"/>
            <family val="2"/>
          </rPr>
          <t>Author:</t>
        </r>
        <r>
          <rPr>
            <sz val="9"/>
            <color indexed="81"/>
            <rFont val="Tahoma"/>
            <family val="2"/>
          </rPr>
          <t xml:space="preserve">
Includes half of the large connection costs
</t>
        </r>
      </text>
    </comment>
    <comment ref="B132" authorId="0" shapeId="0">
      <text>
        <r>
          <rPr>
            <b/>
            <sz val="9"/>
            <color indexed="81"/>
            <rFont val="Tahoma"/>
            <family val="2"/>
          </rPr>
          <t>Author:</t>
        </r>
        <r>
          <rPr>
            <sz val="9"/>
            <color indexed="81"/>
            <rFont val="Tahoma"/>
            <family val="2"/>
          </rPr>
          <t xml:space="preserve">
Includes half of the large connection costs</t>
        </r>
      </text>
    </comment>
    <comment ref="B149" authorId="0" shapeId="0">
      <text>
        <r>
          <rPr>
            <b/>
            <sz val="9"/>
            <color indexed="81"/>
            <rFont val="Tahoma"/>
            <family val="2"/>
          </rPr>
          <t>Author:</t>
        </r>
        <r>
          <rPr>
            <sz val="9"/>
            <color indexed="81"/>
            <rFont val="Tahoma"/>
            <family val="2"/>
          </rPr>
          <t xml:space="preserve">
Includes half of the large connection costs</t>
        </r>
      </text>
    </comment>
    <comment ref="B157" authorId="0" shapeId="0">
      <text>
        <r>
          <rPr>
            <b/>
            <sz val="9"/>
            <color indexed="81"/>
            <rFont val="Tahoma"/>
            <family val="2"/>
          </rPr>
          <t>Author:</t>
        </r>
        <r>
          <rPr>
            <sz val="9"/>
            <color indexed="81"/>
            <rFont val="Tahoma"/>
            <family val="2"/>
          </rPr>
          <t xml:space="preserve">
Based on 1990-2009 data for the Great Belt and Øresundsbrigde connections and the costs of Femern belt- both road and train connections. - New connections are, Femern Belt,  Helsinger-Helsingborg, Kattergat (correspons to one big constuction pr. ten years.)
here only rail connection
</t>
        </r>
      </text>
    </comment>
  </commentList>
</comments>
</file>

<file path=xl/comments4.xml><?xml version="1.0" encoding="utf-8"?>
<comments xmlns="http://schemas.openxmlformats.org/spreadsheetml/2006/main">
  <authors>
    <author>Author</author>
  </authors>
  <commentList>
    <comment ref="K72" authorId="0" shapeId="0">
      <text>
        <r>
          <rPr>
            <b/>
            <sz val="9"/>
            <color indexed="81"/>
            <rFont val="Tahoma"/>
            <family val="2"/>
          </rPr>
          <t>Author:</t>
        </r>
        <r>
          <rPr>
            <sz val="9"/>
            <color indexed="81"/>
            <rFont val="Tahoma"/>
            <family val="2"/>
          </rPr>
          <t xml:space="preserve">
Smaller vehicle than regular vehicle</t>
        </r>
      </text>
    </comment>
    <comment ref="K202" authorId="0" shapeId="0">
      <text>
        <r>
          <rPr>
            <b/>
            <sz val="9"/>
            <color indexed="81"/>
            <rFont val="Tahoma"/>
            <family val="2"/>
          </rPr>
          <t>Author:</t>
        </r>
        <r>
          <rPr>
            <sz val="9"/>
            <color indexed="81"/>
            <rFont val="Tahoma"/>
            <family val="2"/>
          </rPr>
          <t xml:space="preserve">
Based on vehicle extra costs</t>
        </r>
      </text>
    </comment>
    <comment ref="L202" authorId="0" shapeId="0">
      <text>
        <r>
          <rPr>
            <b/>
            <sz val="9"/>
            <color indexed="81"/>
            <rFont val="Tahoma"/>
            <family val="2"/>
          </rPr>
          <t>Author:</t>
        </r>
        <r>
          <rPr>
            <sz val="9"/>
            <color indexed="81"/>
            <rFont val="Tahoma"/>
            <family val="2"/>
          </rPr>
          <t xml:space="preserve">
Based on vehicle extra costs</t>
        </r>
      </text>
    </comment>
    <comment ref="M202" authorId="0" shapeId="0">
      <text>
        <r>
          <rPr>
            <b/>
            <sz val="9"/>
            <color indexed="81"/>
            <rFont val="Tahoma"/>
            <family val="2"/>
          </rPr>
          <t>Author:</t>
        </r>
        <r>
          <rPr>
            <sz val="9"/>
            <color indexed="81"/>
            <rFont val="Tahoma"/>
            <family val="2"/>
          </rPr>
          <t xml:space="preserve">
Based on vehicle extra costs</t>
        </r>
      </text>
    </comment>
    <comment ref="N202" authorId="0" shapeId="0">
      <text>
        <r>
          <rPr>
            <b/>
            <sz val="9"/>
            <color indexed="81"/>
            <rFont val="Tahoma"/>
            <family val="2"/>
          </rPr>
          <t>Author:</t>
        </r>
        <r>
          <rPr>
            <sz val="9"/>
            <color indexed="81"/>
            <rFont val="Tahoma"/>
            <family val="2"/>
          </rPr>
          <t xml:space="preserve">
Based on vehicle extra costs</t>
        </r>
      </text>
    </comment>
    <comment ref="O202" authorId="0" shapeId="0">
      <text>
        <r>
          <rPr>
            <b/>
            <sz val="9"/>
            <color indexed="81"/>
            <rFont val="Tahoma"/>
            <family val="2"/>
          </rPr>
          <t>Author:</t>
        </r>
        <r>
          <rPr>
            <sz val="9"/>
            <color indexed="81"/>
            <rFont val="Tahoma"/>
            <family val="2"/>
          </rPr>
          <t xml:space="preserve">
Based on vehicle extra costs</t>
        </r>
      </text>
    </comment>
    <comment ref="K217" authorId="0" shapeId="0">
      <text>
        <r>
          <rPr>
            <b/>
            <sz val="9"/>
            <color indexed="81"/>
            <rFont val="Tahoma"/>
            <family val="2"/>
          </rPr>
          <t>Author:</t>
        </r>
        <r>
          <rPr>
            <sz val="9"/>
            <color indexed="81"/>
            <rFont val="Tahoma"/>
            <family val="2"/>
          </rPr>
          <t xml:space="preserve">
Based on vehicle extra costs</t>
        </r>
      </text>
    </comment>
    <comment ref="L217" authorId="0" shapeId="0">
      <text>
        <r>
          <rPr>
            <b/>
            <sz val="9"/>
            <color indexed="81"/>
            <rFont val="Tahoma"/>
            <family val="2"/>
          </rPr>
          <t>Author:</t>
        </r>
        <r>
          <rPr>
            <sz val="9"/>
            <color indexed="81"/>
            <rFont val="Tahoma"/>
            <family val="2"/>
          </rPr>
          <t xml:space="preserve">
Based on vehicle extra costs</t>
        </r>
      </text>
    </comment>
    <comment ref="M217" authorId="0" shapeId="0">
      <text>
        <r>
          <rPr>
            <b/>
            <sz val="9"/>
            <color indexed="81"/>
            <rFont val="Tahoma"/>
            <family val="2"/>
          </rPr>
          <t>Author:</t>
        </r>
        <r>
          <rPr>
            <sz val="9"/>
            <color indexed="81"/>
            <rFont val="Tahoma"/>
            <family val="2"/>
          </rPr>
          <t xml:space="preserve">
Based on vehicle extra costs</t>
        </r>
      </text>
    </comment>
    <comment ref="N217" authorId="0" shapeId="0">
      <text>
        <r>
          <rPr>
            <b/>
            <sz val="9"/>
            <color indexed="81"/>
            <rFont val="Tahoma"/>
            <family val="2"/>
          </rPr>
          <t>Author:</t>
        </r>
        <r>
          <rPr>
            <sz val="9"/>
            <color indexed="81"/>
            <rFont val="Tahoma"/>
            <family val="2"/>
          </rPr>
          <t xml:space="preserve">
Based on vehicle extra costs</t>
        </r>
      </text>
    </comment>
    <comment ref="O217" authorId="0" shapeId="0">
      <text>
        <r>
          <rPr>
            <b/>
            <sz val="9"/>
            <color indexed="81"/>
            <rFont val="Tahoma"/>
            <family val="2"/>
          </rPr>
          <t>Author:</t>
        </r>
        <r>
          <rPr>
            <sz val="9"/>
            <color indexed="81"/>
            <rFont val="Tahoma"/>
            <family val="2"/>
          </rPr>
          <t xml:space="preserve">
Based on vehicle extra costs</t>
        </r>
      </text>
    </comment>
    <comment ref="K218" authorId="0" shapeId="0">
      <text>
        <r>
          <rPr>
            <b/>
            <sz val="9"/>
            <color indexed="81"/>
            <rFont val="Tahoma"/>
            <family val="2"/>
          </rPr>
          <t>Author:</t>
        </r>
        <r>
          <rPr>
            <sz val="9"/>
            <color indexed="81"/>
            <rFont val="Tahoma"/>
            <family val="2"/>
          </rPr>
          <t xml:space="preserve">
Based on vehicle extra costs</t>
        </r>
      </text>
    </comment>
    <comment ref="L218" authorId="0" shapeId="0">
      <text>
        <r>
          <rPr>
            <b/>
            <sz val="9"/>
            <color indexed="81"/>
            <rFont val="Tahoma"/>
            <family val="2"/>
          </rPr>
          <t>Author:</t>
        </r>
        <r>
          <rPr>
            <sz val="9"/>
            <color indexed="81"/>
            <rFont val="Tahoma"/>
            <family val="2"/>
          </rPr>
          <t xml:space="preserve">
Based on vehicle extra costs</t>
        </r>
      </text>
    </comment>
    <comment ref="M218" authorId="0" shapeId="0">
      <text>
        <r>
          <rPr>
            <b/>
            <sz val="9"/>
            <color indexed="81"/>
            <rFont val="Tahoma"/>
            <family val="2"/>
          </rPr>
          <t>Author:</t>
        </r>
        <r>
          <rPr>
            <sz val="9"/>
            <color indexed="81"/>
            <rFont val="Tahoma"/>
            <family val="2"/>
          </rPr>
          <t xml:space="preserve">
Based on vehicle extra costs</t>
        </r>
      </text>
    </comment>
    <comment ref="N218" authorId="0" shapeId="0">
      <text>
        <r>
          <rPr>
            <b/>
            <sz val="9"/>
            <color indexed="81"/>
            <rFont val="Tahoma"/>
            <family val="2"/>
          </rPr>
          <t>Author:</t>
        </r>
        <r>
          <rPr>
            <sz val="9"/>
            <color indexed="81"/>
            <rFont val="Tahoma"/>
            <family val="2"/>
          </rPr>
          <t xml:space="preserve">
Based on vehicle extra costs</t>
        </r>
      </text>
    </comment>
    <comment ref="O218" authorId="0" shapeId="0">
      <text>
        <r>
          <rPr>
            <b/>
            <sz val="9"/>
            <color indexed="81"/>
            <rFont val="Tahoma"/>
            <family val="2"/>
          </rPr>
          <t>Author:</t>
        </r>
        <r>
          <rPr>
            <sz val="9"/>
            <color indexed="81"/>
            <rFont val="Tahoma"/>
            <family val="2"/>
          </rPr>
          <t xml:space="preserve">
Based on vehicle extra costs</t>
        </r>
      </text>
    </comment>
    <comment ref="K219" authorId="0" shapeId="0">
      <text>
        <r>
          <rPr>
            <b/>
            <sz val="9"/>
            <color indexed="81"/>
            <rFont val="Tahoma"/>
            <family val="2"/>
          </rPr>
          <t>Author:</t>
        </r>
        <r>
          <rPr>
            <sz val="9"/>
            <color indexed="81"/>
            <rFont val="Tahoma"/>
            <family val="2"/>
          </rPr>
          <t xml:space="preserve">
Based on vehicle extra costs</t>
        </r>
      </text>
    </comment>
    <comment ref="L219" authorId="0" shapeId="0">
      <text>
        <r>
          <rPr>
            <b/>
            <sz val="9"/>
            <color indexed="81"/>
            <rFont val="Tahoma"/>
            <family val="2"/>
          </rPr>
          <t>Author:</t>
        </r>
        <r>
          <rPr>
            <sz val="9"/>
            <color indexed="81"/>
            <rFont val="Tahoma"/>
            <family val="2"/>
          </rPr>
          <t xml:space="preserve">
Based on vehicle extra costs</t>
        </r>
      </text>
    </comment>
    <comment ref="M219" authorId="0" shapeId="0">
      <text>
        <r>
          <rPr>
            <b/>
            <sz val="9"/>
            <color indexed="81"/>
            <rFont val="Tahoma"/>
            <family val="2"/>
          </rPr>
          <t>Author:</t>
        </r>
        <r>
          <rPr>
            <sz val="9"/>
            <color indexed="81"/>
            <rFont val="Tahoma"/>
            <family val="2"/>
          </rPr>
          <t xml:space="preserve">
Based on vehicle extra costs</t>
        </r>
      </text>
    </comment>
    <comment ref="N219" authorId="0" shapeId="0">
      <text>
        <r>
          <rPr>
            <b/>
            <sz val="9"/>
            <color indexed="81"/>
            <rFont val="Tahoma"/>
            <family val="2"/>
          </rPr>
          <t>Author:</t>
        </r>
        <r>
          <rPr>
            <sz val="9"/>
            <color indexed="81"/>
            <rFont val="Tahoma"/>
            <family val="2"/>
          </rPr>
          <t xml:space="preserve">
Based on vehicle extra costs</t>
        </r>
      </text>
    </comment>
    <comment ref="O219" authorId="0" shapeId="0">
      <text>
        <r>
          <rPr>
            <b/>
            <sz val="9"/>
            <color indexed="81"/>
            <rFont val="Tahoma"/>
            <family val="2"/>
          </rPr>
          <t>Author:</t>
        </r>
        <r>
          <rPr>
            <sz val="9"/>
            <color indexed="81"/>
            <rFont val="Tahoma"/>
            <family val="2"/>
          </rPr>
          <t xml:space="preserve">
Based on vehicle extra costs</t>
        </r>
      </text>
    </comment>
    <comment ref="K221" authorId="0" shapeId="0">
      <text>
        <r>
          <rPr>
            <b/>
            <sz val="9"/>
            <color indexed="81"/>
            <rFont val="Tahoma"/>
            <family val="2"/>
          </rPr>
          <t>Author:</t>
        </r>
        <r>
          <rPr>
            <sz val="9"/>
            <color indexed="81"/>
            <rFont val="Tahoma"/>
            <family val="2"/>
          </rPr>
          <t xml:space="preserve">
Based on vehicle extra costs</t>
        </r>
      </text>
    </comment>
    <comment ref="L221" authorId="0" shapeId="0">
      <text>
        <r>
          <rPr>
            <b/>
            <sz val="9"/>
            <color indexed="81"/>
            <rFont val="Tahoma"/>
            <family val="2"/>
          </rPr>
          <t>Author:</t>
        </r>
        <r>
          <rPr>
            <sz val="9"/>
            <color indexed="81"/>
            <rFont val="Tahoma"/>
            <family val="2"/>
          </rPr>
          <t xml:space="preserve">
Based on vehicle extra costs</t>
        </r>
      </text>
    </comment>
    <comment ref="M221" authorId="0" shapeId="0">
      <text>
        <r>
          <rPr>
            <b/>
            <sz val="9"/>
            <color indexed="81"/>
            <rFont val="Tahoma"/>
            <family val="2"/>
          </rPr>
          <t>Author:</t>
        </r>
        <r>
          <rPr>
            <sz val="9"/>
            <color indexed="81"/>
            <rFont val="Tahoma"/>
            <family val="2"/>
          </rPr>
          <t xml:space="preserve">
Based on vehicle extra costs</t>
        </r>
      </text>
    </comment>
    <comment ref="N221" authorId="0" shapeId="0">
      <text>
        <r>
          <rPr>
            <b/>
            <sz val="9"/>
            <color indexed="81"/>
            <rFont val="Tahoma"/>
            <family val="2"/>
          </rPr>
          <t>Author:</t>
        </r>
        <r>
          <rPr>
            <sz val="9"/>
            <color indexed="81"/>
            <rFont val="Tahoma"/>
            <family val="2"/>
          </rPr>
          <t xml:space="preserve">
Based on vehicle extra costs</t>
        </r>
      </text>
    </comment>
    <comment ref="O221" authorId="0" shapeId="0">
      <text>
        <r>
          <rPr>
            <b/>
            <sz val="9"/>
            <color indexed="81"/>
            <rFont val="Tahoma"/>
            <family val="2"/>
          </rPr>
          <t>Author:</t>
        </r>
        <r>
          <rPr>
            <sz val="9"/>
            <color indexed="81"/>
            <rFont val="Tahoma"/>
            <family val="2"/>
          </rPr>
          <t xml:space="preserve">
Based on vehicle extra costs</t>
        </r>
      </text>
    </comment>
    <comment ref="K222" authorId="0" shapeId="0">
      <text>
        <r>
          <rPr>
            <b/>
            <sz val="9"/>
            <color indexed="81"/>
            <rFont val="Tahoma"/>
            <family val="2"/>
          </rPr>
          <t>Author:</t>
        </r>
        <r>
          <rPr>
            <sz val="9"/>
            <color indexed="81"/>
            <rFont val="Tahoma"/>
            <family val="2"/>
          </rPr>
          <t xml:space="preserve">
Based on vehicle extra costs</t>
        </r>
      </text>
    </comment>
    <comment ref="L222" authorId="0" shapeId="0">
      <text>
        <r>
          <rPr>
            <b/>
            <sz val="9"/>
            <color indexed="81"/>
            <rFont val="Tahoma"/>
            <family val="2"/>
          </rPr>
          <t>Author:</t>
        </r>
        <r>
          <rPr>
            <sz val="9"/>
            <color indexed="81"/>
            <rFont val="Tahoma"/>
            <family val="2"/>
          </rPr>
          <t xml:space="preserve">
Based on vehicle extra costs</t>
        </r>
      </text>
    </comment>
    <comment ref="M222" authorId="0" shapeId="0">
      <text>
        <r>
          <rPr>
            <b/>
            <sz val="9"/>
            <color indexed="81"/>
            <rFont val="Tahoma"/>
            <family val="2"/>
          </rPr>
          <t>Author:</t>
        </r>
        <r>
          <rPr>
            <sz val="9"/>
            <color indexed="81"/>
            <rFont val="Tahoma"/>
            <family val="2"/>
          </rPr>
          <t xml:space="preserve">
Based on vehicle extra costs</t>
        </r>
      </text>
    </comment>
    <comment ref="N222" authorId="0" shapeId="0">
      <text>
        <r>
          <rPr>
            <b/>
            <sz val="9"/>
            <color indexed="81"/>
            <rFont val="Tahoma"/>
            <family val="2"/>
          </rPr>
          <t>Author:</t>
        </r>
        <r>
          <rPr>
            <sz val="9"/>
            <color indexed="81"/>
            <rFont val="Tahoma"/>
            <family val="2"/>
          </rPr>
          <t xml:space="preserve">
Based on vehicle extra costs</t>
        </r>
      </text>
    </comment>
    <comment ref="O222" authorId="0" shapeId="0">
      <text>
        <r>
          <rPr>
            <b/>
            <sz val="9"/>
            <color indexed="81"/>
            <rFont val="Tahoma"/>
            <family val="2"/>
          </rPr>
          <t>Author:</t>
        </r>
        <r>
          <rPr>
            <sz val="9"/>
            <color indexed="81"/>
            <rFont val="Tahoma"/>
            <family val="2"/>
          </rPr>
          <t xml:space="preserve">
Based on vehicle extra costs</t>
        </r>
      </text>
    </comment>
    <comment ref="K287" authorId="0" shapeId="0">
      <text>
        <r>
          <rPr>
            <b/>
            <sz val="9"/>
            <color indexed="81"/>
            <rFont val="Tahoma"/>
            <family val="2"/>
          </rPr>
          <t>Author:</t>
        </r>
        <r>
          <rPr>
            <sz val="9"/>
            <color indexed="81"/>
            <rFont val="Tahoma"/>
            <family val="2"/>
          </rPr>
          <t xml:space="preserve">
Based on vehicle extra costs</t>
        </r>
      </text>
    </comment>
    <comment ref="L287" authorId="0" shapeId="0">
      <text>
        <r>
          <rPr>
            <b/>
            <sz val="9"/>
            <color indexed="81"/>
            <rFont val="Tahoma"/>
            <family val="2"/>
          </rPr>
          <t>Author:</t>
        </r>
        <r>
          <rPr>
            <sz val="9"/>
            <color indexed="81"/>
            <rFont val="Tahoma"/>
            <family val="2"/>
          </rPr>
          <t xml:space="preserve">
Based on vehicle extra costs</t>
        </r>
      </text>
    </comment>
    <comment ref="M287" authorId="0" shapeId="0">
      <text>
        <r>
          <rPr>
            <b/>
            <sz val="9"/>
            <color indexed="81"/>
            <rFont val="Tahoma"/>
            <family val="2"/>
          </rPr>
          <t>Author:</t>
        </r>
        <r>
          <rPr>
            <sz val="9"/>
            <color indexed="81"/>
            <rFont val="Tahoma"/>
            <family val="2"/>
          </rPr>
          <t xml:space="preserve">
Based on vehicle extra costs</t>
        </r>
      </text>
    </comment>
    <comment ref="N287" authorId="0" shapeId="0">
      <text>
        <r>
          <rPr>
            <b/>
            <sz val="9"/>
            <color indexed="81"/>
            <rFont val="Tahoma"/>
            <family val="2"/>
          </rPr>
          <t>Author:</t>
        </r>
        <r>
          <rPr>
            <sz val="9"/>
            <color indexed="81"/>
            <rFont val="Tahoma"/>
            <family val="2"/>
          </rPr>
          <t xml:space="preserve">
Based on vehicle extra costs</t>
        </r>
      </text>
    </comment>
    <comment ref="O287" authorId="0" shapeId="0">
      <text>
        <r>
          <rPr>
            <b/>
            <sz val="9"/>
            <color indexed="81"/>
            <rFont val="Tahoma"/>
            <family val="2"/>
          </rPr>
          <t>Author:</t>
        </r>
        <r>
          <rPr>
            <sz val="9"/>
            <color indexed="81"/>
            <rFont val="Tahoma"/>
            <family val="2"/>
          </rPr>
          <t xml:space="preserve">
Based on vehicle extra costs</t>
        </r>
      </text>
    </comment>
    <comment ref="K289" authorId="0" shapeId="0">
      <text>
        <r>
          <rPr>
            <b/>
            <sz val="9"/>
            <color indexed="81"/>
            <rFont val="Tahoma"/>
            <family val="2"/>
          </rPr>
          <t>Author:</t>
        </r>
        <r>
          <rPr>
            <sz val="9"/>
            <color indexed="81"/>
            <rFont val="Tahoma"/>
            <family val="2"/>
          </rPr>
          <t xml:space="preserve">
Based on vehicle extra costs</t>
        </r>
      </text>
    </comment>
    <comment ref="L289" authorId="0" shapeId="0">
      <text>
        <r>
          <rPr>
            <b/>
            <sz val="9"/>
            <color indexed="81"/>
            <rFont val="Tahoma"/>
            <family val="2"/>
          </rPr>
          <t>Author:</t>
        </r>
        <r>
          <rPr>
            <sz val="9"/>
            <color indexed="81"/>
            <rFont val="Tahoma"/>
            <family val="2"/>
          </rPr>
          <t xml:space="preserve">
Based on vehicle extra costs</t>
        </r>
      </text>
    </comment>
    <comment ref="M289" authorId="0" shapeId="0">
      <text>
        <r>
          <rPr>
            <b/>
            <sz val="9"/>
            <color indexed="81"/>
            <rFont val="Tahoma"/>
            <family val="2"/>
          </rPr>
          <t>Author:</t>
        </r>
        <r>
          <rPr>
            <sz val="9"/>
            <color indexed="81"/>
            <rFont val="Tahoma"/>
            <family val="2"/>
          </rPr>
          <t xml:space="preserve">
Based on vehicle extra costs</t>
        </r>
      </text>
    </comment>
    <comment ref="N289" authorId="0" shapeId="0">
      <text>
        <r>
          <rPr>
            <b/>
            <sz val="9"/>
            <color indexed="81"/>
            <rFont val="Tahoma"/>
            <family val="2"/>
          </rPr>
          <t>Author:</t>
        </r>
        <r>
          <rPr>
            <sz val="9"/>
            <color indexed="81"/>
            <rFont val="Tahoma"/>
            <family val="2"/>
          </rPr>
          <t xml:space="preserve">
Based on vehicle extra costs</t>
        </r>
      </text>
    </comment>
    <comment ref="O289" authorId="0" shapeId="0">
      <text>
        <r>
          <rPr>
            <b/>
            <sz val="9"/>
            <color indexed="81"/>
            <rFont val="Tahoma"/>
            <family val="2"/>
          </rPr>
          <t>Author:</t>
        </r>
        <r>
          <rPr>
            <sz val="9"/>
            <color indexed="81"/>
            <rFont val="Tahoma"/>
            <family val="2"/>
          </rPr>
          <t xml:space="preserve">
Based on vehicle extra costs</t>
        </r>
      </text>
    </comment>
    <comment ref="K290" authorId="0" shapeId="0">
      <text>
        <r>
          <rPr>
            <b/>
            <sz val="9"/>
            <color indexed="81"/>
            <rFont val="Tahoma"/>
            <family val="2"/>
          </rPr>
          <t>Author:</t>
        </r>
        <r>
          <rPr>
            <sz val="9"/>
            <color indexed="81"/>
            <rFont val="Tahoma"/>
            <family val="2"/>
          </rPr>
          <t xml:space="preserve">
Based on DME busses
</t>
        </r>
      </text>
    </comment>
    <comment ref="L290" authorId="0" shapeId="0">
      <text>
        <r>
          <rPr>
            <b/>
            <sz val="9"/>
            <color indexed="81"/>
            <rFont val="Tahoma"/>
            <family val="2"/>
          </rPr>
          <t>Author:</t>
        </r>
        <r>
          <rPr>
            <sz val="9"/>
            <color indexed="81"/>
            <rFont val="Tahoma"/>
            <family val="2"/>
          </rPr>
          <t xml:space="preserve">
Based on DME busses
</t>
        </r>
      </text>
    </comment>
    <comment ref="M290" authorId="0" shapeId="0">
      <text>
        <r>
          <rPr>
            <b/>
            <sz val="9"/>
            <color indexed="81"/>
            <rFont val="Tahoma"/>
            <family val="2"/>
          </rPr>
          <t>Author:</t>
        </r>
        <r>
          <rPr>
            <sz val="9"/>
            <color indexed="81"/>
            <rFont val="Tahoma"/>
            <family val="2"/>
          </rPr>
          <t xml:space="preserve">
Based on DME busses
</t>
        </r>
      </text>
    </comment>
    <comment ref="N290" authorId="0" shapeId="0">
      <text>
        <r>
          <rPr>
            <b/>
            <sz val="9"/>
            <color indexed="81"/>
            <rFont val="Tahoma"/>
            <family val="2"/>
          </rPr>
          <t>Author:</t>
        </r>
        <r>
          <rPr>
            <sz val="9"/>
            <color indexed="81"/>
            <rFont val="Tahoma"/>
            <family val="2"/>
          </rPr>
          <t xml:space="preserve">
Based on DME busses
</t>
        </r>
      </text>
    </comment>
    <comment ref="O290" authorId="0" shapeId="0">
      <text>
        <r>
          <rPr>
            <b/>
            <sz val="9"/>
            <color indexed="81"/>
            <rFont val="Tahoma"/>
            <family val="2"/>
          </rPr>
          <t>Author:</t>
        </r>
        <r>
          <rPr>
            <sz val="9"/>
            <color indexed="81"/>
            <rFont val="Tahoma"/>
            <family val="2"/>
          </rPr>
          <t xml:space="preserve">
Based on DME busses
</t>
        </r>
      </text>
    </comment>
    <comment ref="K291" authorId="0" shapeId="0">
      <text>
        <r>
          <rPr>
            <b/>
            <sz val="9"/>
            <color indexed="81"/>
            <rFont val="Tahoma"/>
            <family val="2"/>
          </rPr>
          <t>Author:</t>
        </r>
        <r>
          <rPr>
            <sz val="9"/>
            <color indexed="81"/>
            <rFont val="Tahoma"/>
            <family val="2"/>
          </rPr>
          <t xml:space="preserve">
Based on vehicle extra costs</t>
        </r>
      </text>
    </comment>
    <comment ref="L291" authorId="0" shapeId="0">
      <text>
        <r>
          <rPr>
            <b/>
            <sz val="9"/>
            <color indexed="81"/>
            <rFont val="Tahoma"/>
            <family val="2"/>
          </rPr>
          <t>Author:</t>
        </r>
        <r>
          <rPr>
            <sz val="9"/>
            <color indexed="81"/>
            <rFont val="Tahoma"/>
            <family val="2"/>
          </rPr>
          <t xml:space="preserve">
Based on vehicle extra costs</t>
        </r>
      </text>
    </comment>
    <comment ref="M291" authorId="0" shapeId="0">
      <text>
        <r>
          <rPr>
            <b/>
            <sz val="9"/>
            <color indexed="81"/>
            <rFont val="Tahoma"/>
            <family val="2"/>
          </rPr>
          <t>Author:</t>
        </r>
        <r>
          <rPr>
            <sz val="9"/>
            <color indexed="81"/>
            <rFont val="Tahoma"/>
            <family val="2"/>
          </rPr>
          <t xml:space="preserve">
Based on vehicle extra costs</t>
        </r>
      </text>
    </comment>
    <comment ref="N291" authorId="0" shapeId="0">
      <text>
        <r>
          <rPr>
            <b/>
            <sz val="9"/>
            <color indexed="81"/>
            <rFont val="Tahoma"/>
            <family val="2"/>
          </rPr>
          <t>Author:</t>
        </r>
        <r>
          <rPr>
            <sz val="9"/>
            <color indexed="81"/>
            <rFont val="Tahoma"/>
            <family val="2"/>
          </rPr>
          <t xml:space="preserve">
Based on vehicle extra costs</t>
        </r>
      </text>
    </comment>
    <comment ref="O291" authorId="0" shapeId="0">
      <text>
        <r>
          <rPr>
            <b/>
            <sz val="9"/>
            <color indexed="81"/>
            <rFont val="Tahoma"/>
            <family val="2"/>
          </rPr>
          <t>Author:</t>
        </r>
        <r>
          <rPr>
            <sz val="9"/>
            <color indexed="81"/>
            <rFont val="Tahoma"/>
            <family val="2"/>
          </rPr>
          <t xml:space="preserve">
Based on vehicle extra costs</t>
        </r>
      </text>
    </comment>
    <comment ref="K292" authorId="0" shapeId="0">
      <text>
        <r>
          <rPr>
            <b/>
            <sz val="9"/>
            <color indexed="81"/>
            <rFont val="Tahoma"/>
            <family val="2"/>
          </rPr>
          <t>Author:</t>
        </r>
        <r>
          <rPr>
            <sz val="9"/>
            <color indexed="81"/>
            <rFont val="Tahoma"/>
            <family val="2"/>
          </rPr>
          <t xml:space="preserve">
Based on vehicle extra costs</t>
        </r>
      </text>
    </comment>
    <comment ref="L292" authorId="0" shapeId="0">
      <text>
        <r>
          <rPr>
            <b/>
            <sz val="9"/>
            <color indexed="81"/>
            <rFont val="Tahoma"/>
            <family val="2"/>
          </rPr>
          <t>Author:</t>
        </r>
        <r>
          <rPr>
            <sz val="9"/>
            <color indexed="81"/>
            <rFont val="Tahoma"/>
            <family val="2"/>
          </rPr>
          <t xml:space="preserve">
Based on vehicle extra costs</t>
        </r>
      </text>
    </comment>
    <comment ref="M292" authorId="0" shapeId="0">
      <text>
        <r>
          <rPr>
            <b/>
            <sz val="9"/>
            <color indexed="81"/>
            <rFont val="Tahoma"/>
            <family val="2"/>
          </rPr>
          <t>Author:</t>
        </r>
        <r>
          <rPr>
            <sz val="9"/>
            <color indexed="81"/>
            <rFont val="Tahoma"/>
            <family val="2"/>
          </rPr>
          <t xml:space="preserve">
Based on vehicle extra costs</t>
        </r>
      </text>
    </comment>
    <comment ref="N292" authorId="0" shapeId="0">
      <text>
        <r>
          <rPr>
            <b/>
            <sz val="9"/>
            <color indexed="81"/>
            <rFont val="Tahoma"/>
            <family val="2"/>
          </rPr>
          <t>Author:</t>
        </r>
        <r>
          <rPr>
            <sz val="9"/>
            <color indexed="81"/>
            <rFont val="Tahoma"/>
            <family val="2"/>
          </rPr>
          <t xml:space="preserve">
Based on vehicle extra costs</t>
        </r>
      </text>
    </comment>
    <comment ref="O292" authorId="0" shapeId="0">
      <text>
        <r>
          <rPr>
            <b/>
            <sz val="9"/>
            <color indexed="81"/>
            <rFont val="Tahoma"/>
            <family val="2"/>
          </rPr>
          <t>Author:</t>
        </r>
        <r>
          <rPr>
            <sz val="9"/>
            <color indexed="81"/>
            <rFont val="Tahoma"/>
            <family val="2"/>
          </rPr>
          <t xml:space="preserve">
Based on vehicle extra costs</t>
        </r>
      </text>
    </comment>
    <comment ref="K296" authorId="0" shapeId="0">
      <text>
        <r>
          <rPr>
            <b/>
            <sz val="9"/>
            <color indexed="81"/>
            <rFont val="Tahoma"/>
            <family val="2"/>
          </rPr>
          <t>Author:</t>
        </r>
        <r>
          <rPr>
            <sz val="9"/>
            <color indexed="81"/>
            <rFont val="Tahoma"/>
            <family val="2"/>
          </rPr>
          <t xml:space="preserve">
Based on vehicle extra costs</t>
        </r>
      </text>
    </comment>
    <comment ref="L296" authorId="0" shapeId="0">
      <text>
        <r>
          <rPr>
            <b/>
            <sz val="9"/>
            <color indexed="81"/>
            <rFont val="Tahoma"/>
            <family val="2"/>
          </rPr>
          <t>Author:</t>
        </r>
        <r>
          <rPr>
            <sz val="9"/>
            <color indexed="81"/>
            <rFont val="Tahoma"/>
            <family val="2"/>
          </rPr>
          <t xml:space="preserve">
Based on vehicle extra costs</t>
        </r>
      </text>
    </comment>
    <comment ref="M296" authorId="0" shapeId="0">
      <text>
        <r>
          <rPr>
            <b/>
            <sz val="9"/>
            <color indexed="81"/>
            <rFont val="Tahoma"/>
            <family val="2"/>
          </rPr>
          <t>Author:</t>
        </r>
        <r>
          <rPr>
            <sz val="9"/>
            <color indexed="81"/>
            <rFont val="Tahoma"/>
            <family val="2"/>
          </rPr>
          <t xml:space="preserve">
Based on vehicle extra costs</t>
        </r>
      </text>
    </comment>
    <comment ref="N296" authorId="0" shapeId="0">
      <text>
        <r>
          <rPr>
            <b/>
            <sz val="9"/>
            <color indexed="81"/>
            <rFont val="Tahoma"/>
            <family val="2"/>
          </rPr>
          <t>Author:</t>
        </r>
        <r>
          <rPr>
            <sz val="9"/>
            <color indexed="81"/>
            <rFont val="Tahoma"/>
            <family val="2"/>
          </rPr>
          <t xml:space="preserve">
Based on vehicle extra costs</t>
        </r>
      </text>
    </comment>
    <comment ref="O296" authorId="0" shapeId="0">
      <text>
        <r>
          <rPr>
            <b/>
            <sz val="9"/>
            <color indexed="81"/>
            <rFont val="Tahoma"/>
            <family val="2"/>
          </rPr>
          <t>Author:</t>
        </r>
        <r>
          <rPr>
            <sz val="9"/>
            <color indexed="81"/>
            <rFont val="Tahoma"/>
            <family val="2"/>
          </rPr>
          <t xml:space="preserve">
Based on vehicle extra costs</t>
        </r>
      </text>
    </comment>
    <comment ref="K303" authorId="0" shapeId="0">
      <text>
        <r>
          <rPr>
            <b/>
            <sz val="9"/>
            <color indexed="81"/>
            <rFont val="Tahoma"/>
            <family val="2"/>
          </rPr>
          <t>Author:</t>
        </r>
        <r>
          <rPr>
            <sz val="9"/>
            <color indexed="81"/>
            <rFont val="Tahoma"/>
            <family val="2"/>
          </rPr>
          <t xml:space="preserve">
Based on vehicle extra costs</t>
        </r>
      </text>
    </comment>
    <comment ref="L303" authorId="0" shapeId="0">
      <text>
        <r>
          <rPr>
            <b/>
            <sz val="9"/>
            <color indexed="81"/>
            <rFont val="Tahoma"/>
            <family val="2"/>
          </rPr>
          <t>Author:</t>
        </r>
        <r>
          <rPr>
            <sz val="9"/>
            <color indexed="81"/>
            <rFont val="Tahoma"/>
            <family val="2"/>
          </rPr>
          <t xml:space="preserve">
Based on vehicle extra costs</t>
        </r>
      </text>
    </comment>
    <comment ref="M303" authorId="0" shapeId="0">
      <text>
        <r>
          <rPr>
            <b/>
            <sz val="9"/>
            <color indexed="81"/>
            <rFont val="Tahoma"/>
            <family val="2"/>
          </rPr>
          <t>Author:</t>
        </r>
        <r>
          <rPr>
            <sz val="9"/>
            <color indexed="81"/>
            <rFont val="Tahoma"/>
            <family val="2"/>
          </rPr>
          <t xml:space="preserve">
Based on vehicle extra costs</t>
        </r>
      </text>
    </comment>
    <comment ref="N303" authorId="0" shapeId="0">
      <text>
        <r>
          <rPr>
            <b/>
            <sz val="9"/>
            <color indexed="81"/>
            <rFont val="Tahoma"/>
            <family val="2"/>
          </rPr>
          <t>Author:</t>
        </r>
        <r>
          <rPr>
            <sz val="9"/>
            <color indexed="81"/>
            <rFont val="Tahoma"/>
            <family val="2"/>
          </rPr>
          <t xml:space="preserve">
Based on vehicle extra costs</t>
        </r>
      </text>
    </comment>
    <comment ref="O303" authorId="0" shapeId="0">
      <text>
        <r>
          <rPr>
            <b/>
            <sz val="9"/>
            <color indexed="81"/>
            <rFont val="Tahoma"/>
            <family val="2"/>
          </rPr>
          <t>Author:</t>
        </r>
        <r>
          <rPr>
            <sz val="9"/>
            <color indexed="81"/>
            <rFont val="Tahoma"/>
            <family val="2"/>
          </rPr>
          <t xml:space="preserve">
Based on vehicle extra costs</t>
        </r>
      </text>
    </comment>
    <comment ref="K305" authorId="0" shapeId="0">
      <text>
        <r>
          <rPr>
            <b/>
            <sz val="9"/>
            <color indexed="81"/>
            <rFont val="Tahoma"/>
            <family val="2"/>
          </rPr>
          <t>Author:</t>
        </r>
        <r>
          <rPr>
            <sz val="9"/>
            <color indexed="81"/>
            <rFont val="Tahoma"/>
            <family val="2"/>
          </rPr>
          <t xml:space="preserve">
Based on vehicle extra costs</t>
        </r>
      </text>
    </comment>
    <comment ref="L305" authorId="0" shapeId="0">
      <text>
        <r>
          <rPr>
            <b/>
            <sz val="9"/>
            <color indexed="81"/>
            <rFont val="Tahoma"/>
            <family val="2"/>
          </rPr>
          <t>Author:</t>
        </r>
        <r>
          <rPr>
            <sz val="9"/>
            <color indexed="81"/>
            <rFont val="Tahoma"/>
            <family val="2"/>
          </rPr>
          <t xml:space="preserve">
Based on vehicle extra costs</t>
        </r>
      </text>
    </comment>
    <comment ref="M305" authorId="0" shapeId="0">
      <text>
        <r>
          <rPr>
            <b/>
            <sz val="9"/>
            <color indexed="81"/>
            <rFont val="Tahoma"/>
            <family val="2"/>
          </rPr>
          <t>Author:</t>
        </r>
        <r>
          <rPr>
            <sz val="9"/>
            <color indexed="81"/>
            <rFont val="Tahoma"/>
            <family val="2"/>
          </rPr>
          <t xml:space="preserve">
Based on vehicle extra costs</t>
        </r>
      </text>
    </comment>
    <comment ref="N305" authorId="0" shapeId="0">
      <text>
        <r>
          <rPr>
            <b/>
            <sz val="9"/>
            <color indexed="81"/>
            <rFont val="Tahoma"/>
            <family val="2"/>
          </rPr>
          <t>Author:</t>
        </r>
        <r>
          <rPr>
            <sz val="9"/>
            <color indexed="81"/>
            <rFont val="Tahoma"/>
            <family val="2"/>
          </rPr>
          <t xml:space="preserve">
Based on vehicle extra costs</t>
        </r>
      </text>
    </comment>
    <comment ref="O305" authorId="0" shapeId="0">
      <text>
        <r>
          <rPr>
            <b/>
            <sz val="9"/>
            <color indexed="81"/>
            <rFont val="Tahoma"/>
            <family val="2"/>
          </rPr>
          <t>Author:</t>
        </r>
        <r>
          <rPr>
            <sz val="9"/>
            <color indexed="81"/>
            <rFont val="Tahoma"/>
            <family val="2"/>
          </rPr>
          <t xml:space="preserve">
Based on vehicle extra costs</t>
        </r>
      </text>
    </comment>
    <comment ref="K306" authorId="0" shapeId="0">
      <text>
        <r>
          <rPr>
            <b/>
            <sz val="9"/>
            <color indexed="81"/>
            <rFont val="Tahoma"/>
            <family val="2"/>
          </rPr>
          <t>Author:</t>
        </r>
        <r>
          <rPr>
            <sz val="9"/>
            <color indexed="81"/>
            <rFont val="Tahoma"/>
            <family val="2"/>
          </rPr>
          <t xml:space="preserve">
Based on DME busses
</t>
        </r>
      </text>
    </comment>
    <comment ref="L306" authorId="0" shapeId="0">
      <text>
        <r>
          <rPr>
            <b/>
            <sz val="9"/>
            <color indexed="81"/>
            <rFont val="Tahoma"/>
            <family val="2"/>
          </rPr>
          <t>Author:</t>
        </r>
        <r>
          <rPr>
            <sz val="9"/>
            <color indexed="81"/>
            <rFont val="Tahoma"/>
            <family val="2"/>
          </rPr>
          <t xml:space="preserve">
Based on DME busses
</t>
        </r>
      </text>
    </comment>
    <comment ref="M306" authorId="0" shapeId="0">
      <text>
        <r>
          <rPr>
            <b/>
            <sz val="9"/>
            <color indexed="81"/>
            <rFont val="Tahoma"/>
            <family val="2"/>
          </rPr>
          <t>Author:</t>
        </r>
        <r>
          <rPr>
            <sz val="9"/>
            <color indexed="81"/>
            <rFont val="Tahoma"/>
            <family val="2"/>
          </rPr>
          <t xml:space="preserve">
Based on DME busses
</t>
        </r>
      </text>
    </comment>
    <comment ref="N306" authorId="0" shapeId="0">
      <text>
        <r>
          <rPr>
            <b/>
            <sz val="9"/>
            <color indexed="81"/>
            <rFont val="Tahoma"/>
            <family val="2"/>
          </rPr>
          <t>Author:</t>
        </r>
        <r>
          <rPr>
            <sz val="9"/>
            <color indexed="81"/>
            <rFont val="Tahoma"/>
            <family val="2"/>
          </rPr>
          <t xml:space="preserve">
Based on DME busses
</t>
        </r>
      </text>
    </comment>
    <comment ref="O306" authorId="0" shapeId="0">
      <text>
        <r>
          <rPr>
            <b/>
            <sz val="9"/>
            <color indexed="81"/>
            <rFont val="Tahoma"/>
            <family val="2"/>
          </rPr>
          <t>Author:</t>
        </r>
        <r>
          <rPr>
            <sz val="9"/>
            <color indexed="81"/>
            <rFont val="Tahoma"/>
            <family val="2"/>
          </rPr>
          <t xml:space="preserve">
Based on DME busses
</t>
        </r>
      </text>
    </comment>
    <comment ref="K307" authorId="0" shapeId="0">
      <text>
        <r>
          <rPr>
            <b/>
            <sz val="9"/>
            <color indexed="81"/>
            <rFont val="Tahoma"/>
            <family val="2"/>
          </rPr>
          <t>Author:</t>
        </r>
        <r>
          <rPr>
            <sz val="9"/>
            <color indexed="81"/>
            <rFont val="Tahoma"/>
            <family val="2"/>
          </rPr>
          <t xml:space="preserve">
Based on vehicle extra costs</t>
        </r>
      </text>
    </comment>
    <comment ref="L307" authorId="0" shapeId="0">
      <text>
        <r>
          <rPr>
            <b/>
            <sz val="9"/>
            <color indexed="81"/>
            <rFont val="Tahoma"/>
            <family val="2"/>
          </rPr>
          <t>Author:</t>
        </r>
        <r>
          <rPr>
            <sz val="9"/>
            <color indexed="81"/>
            <rFont val="Tahoma"/>
            <family val="2"/>
          </rPr>
          <t xml:space="preserve">
Based on vehicle extra costs</t>
        </r>
      </text>
    </comment>
    <comment ref="M307" authorId="0" shapeId="0">
      <text>
        <r>
          <rPr>
            <b/>
            <sz val="9"/>
            <color indexed="81"/>
            <rFont val="Tahoma"/>
            <family val="2"/>
          </rPr>
          <t>Author:</t>
        </r>
        <r>
          <rPr>
            <sz val="9"/>
            <color indexed="81"/>
            <rFont val="Tahoma"/>
            <family val="2"/>
          </rPr>
          <t xml:space="preserve">
Based on vehicle extra costs</t>
        </r>
      </text>
    </comment>
    <comment ref="N307" authorId="0" shapeId="0">
      <text>
        <r>
          <rPr>
            <b/>
            <sz val="9"/>
            <color indexed="81"/>
            <rFont val="Tahoma"/>
            <family val="2"/>
          </rPr>
          <t>Author:</t>
        </r>
        <r>
          <rPr>
            <sz val="9"/>
            <color indexed="81"/>
            <rFont val="Tahoma"/>
            <family val="2"/>
          </rPr>
          <t xml:space="preserve">
Based on vehicle extra costs</t>
        </r>
      </text>
    </comment>
    <comment ref="O307" authorId="0" shapeId="0">
      <text>
        <r>
          <rPr>
            <b/>
            <sz val="9"/>
            <color indexed="81"/>
            <rFont val="Tahoma"/>
            <family val="2"/>
          </rPr>
          <t>Author:</t>
        </r>
        <r>
          <rPr>
            <sz val="9"/>
            <color indexed="81"/>
            <rFont val="Tahoma"/>
            <family val="2"/>
          </rPr>
          <t xml:space="preserve">
Based on vehicle extra costs</t>
        </r>
      </text>
    </comment>
    <comment ref="K308" authorId="0" shapeId="0">
      <text>
        <r>
          <rPr>
            <b/>
            <sz val="9"/>
            <color indexed="81"/>
            <rFont val="Tahoma"/>
            <family val="2"/>
          </rPr>
          <t>Author:</t>
        </r>
        <r>
          <rPr>
            <sz val="9"/>
            <color indexed="81"/>
            <rFont val="Tahoma"/>
            <family val="2"/>
          </rPr>
          <t xml:space="preserve">
Based on vehicle extra costs</t>
        </r>
      </text>
    </comment>
    <comment ref="L308" authorId="0" shapeId="0">
      <text>
        <r>
          <rPr>
            <b/>
            <sz val="9"/>
            <color indexed="81"/>
            <rFont val="Tahoma"/>
            <family val="2"/>
          </rPr>
          <t>Author:</t>
        </r>
        <r>
          <rPr>
            <sz val="9"/>
            <color indexed="81"/>
            <rFont val="Tahoma"/>
            <family val="2"/>
          </rPr>
          <t xml:space="preserve">
Based on vehicle extra costs</t>
        </r>
      </text>
    </comment>
    <comment ref="M308" authorId="0" shapeId="0">
      <text>
        <r>
          <rPr>
            <b/>
            <sz val="9"/>
            <color indexed="81"/>
            <rFont val="Tahoma"/>
            <family val="2"/>
          </rPr>
          <t>Author:</t>
        </r>
        <r>
          <rPr>
            <sz val="9"/>
            <color indexed="81"/>
            <rFont val="Tahoma"/>
            <family val="2"/>
          </rPr>
          <t xml:space="preserve">
Based on vehicle extra costs</t>
        </r>
      </text>
    </comment>
    <comment ref="N308" authorId="0" shapeId="0">
      <text>
        <r>
          <rPr>
            <b/>
            <sz val="9"/>
            <color indexed="81"/>
            <rFont val="Tahoma"/>
            <family val="2"/>
          </rPr>
          <t>Author:</t>
        </r>
        <r>
          <rPr>
            <sz val="9"/>
            <color indexed="81"/>
            <rFont val="Tahoma"/>
            <family val="2"/>
          </rPr>
          <t xml:space="preserve">
Based on vehicle extra costs</t>
        </r>
      </text>
    </comment>
    <comment ref="O308" authorId="0" shapeId="0">
      <text>
        <r>
          <rPr>
            <b/>
            <sz val="9"/>
            <color indexed="81"/>
            <rFont val="Tahoma"/>
            <family val="2"/>
          </rPr>
          <t>Author:</t>
        </r>
        <r>
          <rPr>
            <sz val="9"/>
            <color indexed="81"/>
            <rFont val="Tahoma"/>
            <family val="2"/>
          </rPr>
          <t xml:space="preserve">
Based on vehicle extra costs</t>
        </r>
      </text>
    </comment>
    <comment ref="K312" authorId="0" shapeId="0">
      <text>
        <r>
          <rPr>
            <b/>
            <sz val="9"/>
            <color indexed="81"/>
            <rFont val="Tahoma"/>
            <family val="2"/>
          </rPr>
          <t>Author:</t>
        </r>
        <r>
          <rPr>
            <sz val="9"/>
            <color indexed="81"/>
            <rFont val="Tahoma"/>
            <family val="2"/>
          </rPr>
          <t xml:space="preserve">
Based on vehicle extra costs</t>
        </r>
      </text>
    </comment>
    <comment ref="L312" authorId="0" shapeId="0">
      <text>
        <r>
          <rPr>
            <b/>
            <sz val="9"/>
            <color indexed="81"/>
            <rFont val="Tahoma"/>
            <family val="2"/>
          </rPr>
          <t>Author:</t>
        </r>
        <r>
          <rPr>
            <sz val="9"/>
            <color indexed="81"/>
            <rFont val="Tahoma"/>
            <family val="2"/>
          </rPr>
          <t xml:space="preserve">
Based on vehicle extra costs</t>
        </r>
      </text>
    </comment>
    <comment ref="M312" authorId="0" shapeId="0">
      <text>
        <r>
          <rPr>
            <b/>
            <sz val="9"/>
            <color indexed="81"/>
            <rFont val="Tahoma"/>
            <family val="2"/>
          </rPr>
          <t>Author:</t>
        </r>
        <r>
          <rPr>
            <sz val="9"/>
            <color indexed="81"/>
            <rFont val="Tahoma"/>
            <family val="2"/>
          </rPr>
          <t xml:space="preserve">
Based on vehicle extra costs</t>
        </r>
      </text>
    </comment>
    <comment ref="N312" authorId="0" shapeId="0">
      <text>
        <r>
          <rPr>
            <b/>
            <sz val="9"/>
            <color indexed="81"/>
            <rFont val="Tahoma"/>
            <family val="2"/>
          </rPr>
          <t>Author:</t>
        </r>
        <r>
          <rPr>
            <sz val="9"/>
            <color indexed="81"/>
            <rFont val="Tahoma"/>
            <family val="2"/>
          </rPr>
          <t xml:space="preserve">
Based on vehicle extra costs</t>
        </r>
      </text>
    </comment>
    <comment ref="O312" authorId="0" shapeId="0">
      <text>
        <r>
          <rPr>
            <b/>
            <sz val="9"/>
            <color indexed="81"/>
            <rFont val="Tahoma"/>
            <family val="2"/>
          </rPr>
          <t>Author:</t>
        </r>
        <r>
          <rPr>
            <sz val="9"/>
            <color indexed="81"/>
            <rFont val="Tahoma"/>
            <family val="2"/>
          </rPr>
          <t xml:space="preserve">
Based on vehicle extra costs</t>
        </r>
      </text>
    </comment>
  </commentList>
</comments>
</file>

<file path=xl/comments5.xml><?xml version="1.0" encoding="utf-8"?>
<comments xmlns="http://schemas.openxmlformats.org/spreadsheetml/2006/main">
  <authors>
    <author>Author</author>
  </authors>
  <commentList>
    <comment ref="S14" authorId="0" shapeId="0">
      <text>
        <r>
          <rPr>
            <b/>
            <sz val="9"/>
            <color indexed="81"/>
            <rFont val="Tahoma"/>
            <family val="2"/>
          </rPr>
          <t>Author:</t>
        </r>
        <r>
          <rPr>
            <sz val="9"/>
            <color indexed="81"/>
            <rFont val="Tahoma"/>
            <family val="2"/>
          </rPr>
          <t xml:space="preserve">
1 Week of Storage</t>
        </r>
      </text>
    </comment>
    <comment ref="S24" authorId="0" shapeId="0">
      <text>
        <r>
          <rPr>
            <b/>
            <sz val="9"/>
            <color indexed="81"/>
            <rFont val="Tahoma"/>
            <family val="2"/>
          </rPr>
          <t>Author:</t>
        </r>
        <r>
          <rPr>
            <sz val="9"/>
            <color indexed="81"/>
            <rFont val="Tahoma"/>
            <family val="2"/>
          </rPr>
          <t xml:space="preserve">
1 Week of Storage</t>
        </r>
      </text>
    </comment>
    <comment ref="E25" authorId="0" shapeId="0">
      <text>
        <r>
          <rPr>
            <b/>
            <sz val="9"/>
            <color indexed="81"/>
            <rFont val="Tahoma"/>
            <family val="2"/>
          </rPr>
          <t>Author:</t>
        </r>
        <r>
          <rPr>
            <sz val="9"/>
            <color indexed="81"/>
            <rFont val="Tahoma"/>
            <family val="2"/>
          </rPr>
          <t xml:space="preserve">
These losses are added to account for those in the chemical synthesis and fuel storage. It equates to a 5% loss in the final fuel</t>
        </r>
      </text>
    </comment>
    <comment ref="S28" authorId="0" shapeId="0">
      <text>
        <r>
          <rPr>
            <b/>
            <sz val="9"/>
            <color rgb="FF000000"/>
            <rFont val="Tahoma"/>
            <family val="2"/>
          </rPr>
          <t>Author:</t>
        </r>
        <r>
          <rPr>
            <sz val="9"/>
            <color rgb="FF000000"/>
            <rFont val="Tahoma"/>
            <family val="2"/>
          </rPr>
          <t xml:space="preserve">
1 Week of Storage</t>
        </r>
      </text>
    </comment>
    <comment ref="S34" authorId="0" shapeId="0">
      <text>
        <r>
          <rPr>
            <b/>
            <sz val="9"/>
            <color indexed="81"/>
            <rFont val="Tahoma"/>
            <family val="2"/>
          </rPr>
          <t>Author:</t>
        </r>
        <r>
          <rPr>
            <sz val="9"/>
            <color indexed="81"/>
            <rFont val="Tahoma"/>
            <family val="2"/>
          </rPr>
          <t xml:space="preserve">
1 Week of Storage</t>
        </r>
      </text>
    </comment>
  </commentList>
</comments>
</file>

<file path=xl/sharedStrings.xml><?xml version="1.0" encoding="utf-8"?>
<sst xmlns="http://schemas.openxmlformats.org/spreadsheetml/2006/main" count="2047" uniqueCount="527">
  <si>
    <t>Total</t>
  </si>
  <si>
    <t>%</t>
  </si>
  <si>
    <t>TJ</t>
  </si>
  <si>
    <t>Diesel</t>
  </si>
  <si>
    <t>JP1</t>
  </si>
  <si>
    <t>Electricity</t>
  </si>
  <si>
    <t>Energy demand</t>
  </si>
  <si>
    <t>International bus</t>
  </si>
  <si>
    <t>National bus</t>
  </si>
  <si>
    <t>Bicycle/walking</t>
  </si>
  <si>
    <t>National air</t>
  </si>
  <si>
    <t>International air</t>
  </si>
  <si>
    <t>National sea</t>
  </si>
  <si>
    <t>International sea</t>
  </si>
  <si>
    <t>Freight transport</t>
  </si>
  <si>
    <t>National truck</t>
  </si>
  <si>
    <t>International truck</t>
  </si>
  <si>
    <t>National rail</t>
  </si>
  <si>
    <t>Vans (2-6 t)</t>
  </si>
  <si>
    <t>National cargo air</t>
  </si>
  <si>
    <t>Internationa cargo air</t>
  </si>
  <si>
    <t>National cargo sea</t>
  </si>
  <si>
    <t>International cargo sea</t>
  </si>
  <si>
    <t>National rail (diesel)</t>
  </si>
  <si>
    <t xml:space="preserve">National rail </t>
  </si>
  <si>
    <t>National rail (electricity)</t>
  </si>
  <si>
    <t>International rail (electricity)</t>
  </si>
  <si>
    <t>&lt; 5km</t>
  </si>
  <si>
    <t>5-25 km</t>
  </si>
  <si>
    <t>25-50km</t>
  </si>
  <si>
    <t>&gt;50 km</t>
  </si>
  <si>
    <t>Passenger transport</t>
  </si>
  <si>
    <t>&lt;50km</t>
  </si>
  <si>
    <t>50-200km</t>
  </si>
  <si>
    <t>&gt;200km</t>
  </si>
  <si>
    <t>&gt;50km</t>
  </si>
  <si>
    <t>Specific energy consumption</t>
  </si>
  <si>
    <t>International air (1-1000km)</t>
  </si>
  <si>
    <t>International air (&gt;1000km)</t>
  </si>
  <si>
    <t>Capacity</t>
  </si>
  <si>
    <t>Traffic work</t>
  </si>
  <si>
    <t>Petrol</t>
  </si>
  <si>
    <t>PJ</t>
  </si>
  <si>
    <t>Bioethanol</t>
  </si>
  <si>
    <t>Aviation petrol</t>
  </si>
  <si>
    <t>Reference</t>
  </si>
  <si>
    <t>2010-2020</t>
  </si>
  <si>
    <t>2020-2030</t>
  </si>
  <si>
    <t>2030-2050</t>
  </si>
  <si>
    <t>%/year</t>
  </si>
  <si>
    <t>2010-2050</t>
  </si>
  <si>
    <t>Fuel</t>
  </si>
  <si>
    <t>Share</t>
  </si>
  <si>
    <t xml:space="preserve">Specific energy consumption </t>
  </si>
  <si>
    <t>[km/MJ]</t>
  </si>
  <si>
    <t>[MJ/km]</t>
  </si>
  <si>
    <t xml:space="preserve">Sum </t>
  </si>
  <si>
    <t>No shift in technology</t>
  </si>
  <si>
    <t>% of traffic work</t>
  </si>
  <si>
    <t>MJ/pkm</t>
  </si>
  <si>
    <t>Sum</t>
  </si>
  <si>
    <t>ICE Hybrid Diesel</t>
  </si>
  <si>
    <t>% (pkm)</t>
  </si>
  <si>
    <t>International Air &lt; 1000km --&gt; international train</t>
  </si>
  <si>
    <t>Modal shift</t>
  </si>
  <si>
    <t>MJ/km</t>
  </si>
  <si>
    <t>Transport demand</t>
  </si>
  <si>
    <t>Methanol</t>
  </si>
  <si>
    <t>Biogas</t>
  </si>
  <si>
    <t>Bus</t>
  </si>
  <si>
    <t>el</t>
  </si>
  <si>
    <t>MJ/tkm</t>
  </si>
  <si>
    <t>ICE Diesel Hybrid</t>
  </si>
  <si>
    <t>International</t>
  </si>
  <si>
    <t>Biodiesel</t>
  </si>
  <si>
    <t>International rail</t>
  </si>
  <si>
    <t>Rail</t>
  </si>
  <si>
    <t>Sea</t>
  </si>
  <si>
    <t>Bio-jetfuel</t>
  </si>
  <si>
    <t>Eff.</t>
  </si>
  <si>
    <t>W. Eff.</t>
  </si>
  <si>
    <t>Electricity BEV</t>
  </si>
  <si>
    <t>Electricity Plug-in-hybrid</t>
  </si>
  <si>
    <t>Electric trains</t>
  </si>
  <si>
    <t>ICE Bioethanol</t>
  </si>
  <si>
    <t>ICE Biogas</t>
  </si>
  <si>
    <t>ICE Petrol</t>
  </si>
  <si>
    <t>ICE Diesel</t>
  </si>
  <si>
    <t>ICE hybrid vehicle Diesel</t>
  </si>
  <si>
    <t>Total TJ</t>
  </si>
  <si>
    <t>Plugin - Hybrid HFCV</t>
  </si>
  <si>
    <t>Hybrid vehicle module (2006)</t>
  </si>
  <si>
    <t>Plugin - Hybrid ICE vehicle</t>
  </si>
  <si>
    <t>No shift in technology / ICE Diesel</t>
  </si>
  <si>
    <t>Electricity Train / bus</t>
  </si>
  <si>
    <t>Diesel trains</t>
  </si>
  <si>
    <t>Fuel cell hybrid busses (methanol/Synthetic fuel)</t>
  </si>
  <si>
    <t>Jet-fuel fossil</t>
  </si>
  <si>
    <t>Gasturbines Synthetic fuels from electrolysors</t>
  </si>
  <si>
    <t>No shift in technology /  Diesel</t>
  </si>
  <si>
    <t>Gasturbine biogas</t>
  </si>
  <si>
    <t>ICE hybrid vehicle Biogas</t>
  </si>
  <si>
    <t>[km/Liter]</t>
  </si>
  <si>
    <t>MJ_mech/km</t>
  </si>
  <si>
    <t>Hybrid vehicle module (2025)</t>
  </si>
  <si>
    <t>Leisure</t>
  </si>
  <si>
    <t>Work</t>
  </si>
  <si>
    <t>Air</t>
  </si>
  <si>
    <t>Used in 2020</t>
  </si>
  <si>
    <t>Used in 2010</t>
  </si>
  <si>
    <t>Used in 2030+</t>
  </si>
  <si>
    <t>Other</t>
  </si>
  <si>
    <t>JP1 (military)</t>
  </si>
  <si>
    <t>Diesel (military)</t>
  </si>
  <si>
    <t>N/A</t>
  </si>
  <si>
    <t>Agriculture</t>
  </si>
  <si>
    <t>Fishery</t>
  </si>
  <si>
    <t>Agricultural contractor</t>
  </si>
  <si>
    <t>Military transport road</t>
  </si>
  <si>
    <t>Military transport aviation</t>
  </si>
  <si>
    <t>Diesel (Agr.)</t>
  </si>
  <si>
    <t>Diesel (Fishery)</t>
  </si>
  <si>
    <t>Diesel (gartn/forest)</t>
  </si>
  <si>
    <t>Diesel (Agr. contr.)</t>
  </si>
  <si>
    <t>Percentage change according to type</t>
  </si>
  <si>
    <t>Either:</t>
  </si>
  <si>
    <t>EV hybrid</t>
  </si>
  <si>
    <t>-</t>
  </si>
  <si>
    <t>and/Or:</t>
  </si>
  <si>
    <t>CO2-emissions</t>
  </si>
  <si>
    <t>[g/km]</t>
  </si>
  <si>
    <t>No of vehicles</t>
  </si>
  <si>
    <t>Check</t>
  </si>
  <si>
    <t>%/period</t>
  </si>
  <si>
    <t>Growth rates</t>
  </si>
  <si>
    <t>Bikes and walking</t>
  </si>
  <si>
    <t>% (tkm)</t>
  </si>
  <si>
    <t>Market shares (tkm) (incl. International)</t>
  </si>
  <si>
    <t>Market shares (tkm) (excl. International)</t>
  </si>
  <si>
    <t>Market shares (pkm)</t>
  </si>
  <si>
    <t xml:space="preserve">Vehilces </t>
  </si>
  <si>
    <t xml:space="preserve">Public transport </t>
  </si>
  <si>
    <t xml:space="preserve">Aviation </t>
  </si>
  <si>
    <t>Vans</t>
  </si>
  <si>
    <t>Trucks</t>
  </si>
  <si>
    <t>Energy consumption</t>
  </si>
  <si>
    <t>Index</t>
  </si>
  <si>
    <t>International cargo air</t>
  </si>
  <si>
    <t>Energy consumption/type</t>
  </si>
  <si>
    <t>Energy consumption/fuel</t>
  </si>
  <si>
    <t>All transport</t>
  </si>
  <si>
    <t xml:space="preserve">Detailed options transport demand growth and modal shift options for scenario development </t>
  </si>
  <si>
    <t>All aviation  (Passenger and freight)</t>
  </si>
  <si>
    <t>All trucks</t>
  </si>
  <si>
    <t>Busses</t>
  </si>
  <si>
    <t>All sea transport</t>
  </si>
  <si>
    <t>No improvements assumed in rail</t>
  </si>
  <si>
    <t xml:space="preserve">Factor </t>
  </si>
  <si>
    <t>Total improvement</t>
  </si>
  <si>
    <t>Short long distance relation</t>
  </si>
  <si>
    <t>National bus --&gt; bike/walking</t>
  </si>
  <si>
    <t>Mill. pkm</t>
  </si>
  <si>
    <t>Mill. tkm</t>
  </si>
  <si>
    <t>Infrastructure costs</t>
  </si>
  <si>
    <t>New roads</t>
  </si>
  <si>
    <t>Transport work (excl. International)</t>
  </si>
  <si>
    <t>Road</t>
  </si>
  <si>
    <t>Transport work (excl. all international, aviation, sea and other)</t>
  </si>
  <si>
    <t>Rail maintenance</t>
  </si>
  <si>
    <t>Roads</t>
  </si>
  <si>
    <t>New large connections road</t>
  </si>
  <si>
    <t>New large connections rail</t>
  </si>
  <si>
    <t>Bicycling</t>
  </si>
  <si>
    <t>ITS (Road)</t>
  </si>
  <si>
    <t>Bus and access to station</t>
  </si>
  <si>
    <t>Education and research</t>
  </si>
  <si>
    <t>High growth road, stabil rail and bicycling (reference)</t>
  </si>
  <si>
    <t>Rail upgrade 2050</t>
  </si>
  <si>
    <t>Used when demands are adjusted</t>
  </si>
  <si>
    <t>Input to Energyplan</t>
  </si>
  <si>
    <t>% of inv. Cost</t>
  </si>
  <si>
    <t>Investments costs pr. vehicle</t>
  </si>
  <si>
    <t>DKK/vehicle</t>
  </si>
  <si>
    <t>O&amp;M pr. vehicle</t>
  </si>
  <si>
    <t>No. of vehicles pr. type</t>
  </si>
  <si>
    <t>Total annual costs (reference)</t>
  </si>
  <si>
    <t>Total annual costs (scenario)</t>
  </si>
  <si>
    <t>Interest rate</t>
  </si>
  <si>
    <t>Lifetime</t>
  </si>
  <si>
    <t>Total investments costs</t>
  </si>
  <si>
    <t>Total O&amp;M costs</t>
  </si>
  <si>
    <t>Total annual investments costs</t>
  </si>
  <si>
    <t xml:space="preserve">Marginal annual extra costs </t>
  </si>
  <si>
    <t>Other costs</t>
  </si>
  <si>
    <t>Charging station</t>
  </si>
  <si>
    <t>DKK/Charging station</t>
  </si>
  <si>
    <t>Costs pr. station</t>
  </si>
  <si>
    <t>Years</t>
  </si>
  <si>
    <t>No. pr. BEV</t>
  </si>
  <si>
    <t>No. pr. plugin-hybrid</t>
  </si>
  <si>
    <t>No. of charging stations</t>
  </si>
  <si>
    <t>For BEV</t>
  </si>
  <si>
    <t>For Plugin-hybrid</t>
  </si>
  <si>
    <t>TWh</t>
  </si>
  <si>
    <t>MW</t>
  </si>
  <si>
    <t>GWh</t>
  </si>
  <si>
    <t>National Air --&gt; national train (elec.)</t>
  </si>
  <si>
    <t>National truck  50-200 km --&gt; national rail (elec.)</t>
  </si>
  <si>
    <t>National truck  &gt;200 km --&gt; national rail (elec.)</t>
  </si>
  <si>
    <t>International truck &gt; 200 km --&gt; International rail (elec.)</t>
  </si>
  <si>
    <t>Low growth/stabil road, high growth in rail and bicycling (scenario)</t>
  </si>
  <si>
    <t>Used in unadjusted reference</t>
  </si>
  <si>
    <t>Other (military, fishery and agriculture)</t>
  </si>
  <si>
    <t xml:space="preserve">Impr./period </t>
  </si>
  <si>
    <t xml:space="preserve">Efficiency improvement module </t>
  </si>
  <si>
    <t>Excisting rail maintenance</t>
  </si>
  <si>
    <t>Double market share of public transport (compared to the amount of pkm today) - should amount to half the growth in the total pkm and tkm for road transport</t>
  </si>
  <si>
    <t>Market shares (pkm), incl. avation, incl international</t>
  </si>
  <si>
    <t>Market shares (pkm), excl. avation, incl international</t>
  </si>
  <si>
    <t>Market shares (pkm) incl. avation, excl. National</t>
  </si>
  <si>
    <t xml:space="preserve">Half way to double market share of public transport (compared to the amount of pkm today i.e. 7.500 pkm) </t>
  </si>
  <si>
    <t>The annual inv. Is based on the concrete scenario for increasing the market share for rail. The total inv. Needed pr. year is app. 90 DKK / extra transport km.</t>
  </si>
  <si>
    <t>New large connections rail (high speed international)</t>
  </si>
  <si>
    <t>Neccersary to have the growth in rail and enable good trafic model shift and space on excisting roads in peak time</t>
  </si>
  <si>
    <t>Included to ensure further development of the sector</t>
  </si>
  <si>
    <t>Growth parameters</t>
  </si>
  <si>
    <t>Scenario</t>
  </si>
  <si>
    <t>Marginal extra costs used can be used if future vehicles are more expensive than conventional vehicles</t>
  </si>
  <si>
    <t>No. of busses</t>
  </si>
  <si>
    <t>Marginal extra costs used can be used if future busses are more expensive than conventional busses</t>
  </si>
  <si>
    <t>Percentage O&amp;M costs of inv.</t>
  </si>
  <si>
    <t>Vehicles</t>
  </si>
  <si>
    <t>No. of trucks</t>
  </si>
  <si>
    <t>Minimum hours that charging could take place</t>
  </si>
  <si>
    <t>Storage pr. BEV</t>
  </si>
  <si>
    <t>MW peak</t>
  </si>
  <si>
    <t>Hours to peak</t>
  </si>
  <si>
    <t>Percentage of battery for analyses</t>
  </si>
  <si>
    <t>No. of BEV</t>
  </si>
  <si>
    <t>TWh for BEV</t>
  </si>
  <si>
    <t>Charging capacity</t>
  </si>
  <si>
    <t>GWh batteri capacity used</t>
  </si>
  <si>
    <t>No. of hybrids</t>
  </si>
  <si>
    <t>KW BEV</t>
  </si>
  <si>
    <t>KW plugin hybrid</t>
  </si>
  <si>
    <t>BEV, plugins &amp; FC</t>
  </si>
  <si>
    <t>KWh BEV</t>
  </si>
  <si>
    <t>KWh plugin hybrid</t>
  </si>
  <si>
    <t>Aggregated</t>
  </si>
  <si>
    <t>Synthetic fuel storage time</t>
  </si>
  <si>
    <t>week</t>
  </si>
  <si>
    <t>No.</t>
  </si>
  <si>
    <t>GWh batteri capacity total</t>
  </si>
  <si>
    <t>Engine efficiency</t>
  </si>
  <si>
    <t>Utilization efficiency</t>
  </si>
  <si>
    <t xml:space="preserve"> (MJ_mech/MJ)</t>
  </si>
  <si>
    <t>Specific energy consumption to move the vehicle</t>
  </si>
  <si>
    <t>Assumed for continued small growth in pkm (refer til reference) (excluding new metro)</t>
  </si>
  <si>
    <t>Factor for adj. costs:</t>
  </si>
  <si>
    <t>Operation and maintenance</t>
  </si>
  <si>
    <t>Road operation and maintence</t>
  </si>
  <si>
    <t>(2010 prices)</t>
  </si>
  <si>
    <t>New roads 2010 (1,4% growth)</t>
  </si>
  <si>
    <t>New roads other year pr. % growth</t>
  </si>
  <si>
    <t>Percentage road growth pr. year</t>
  </si>
  <si>
    <t>New large constructions 2010</t>
  </si>
  <si>
    <t>New large constructions 2020</t>
  </si>
  <si>
    <t>New large constructions 2030 (high growth)</t>
  </si>
  <si>
    <t>New large constructions 2040 (high growth)</t>
  </si>
  <si>
    <t>New large constructions 2050 (high growth)</t>
  </si>
  <si>
    <t>The Femern Belt connection is added as well.</t>
  </si>
  <si>
    <t>Large constructions (low growth)</t>
  </si>
  <si>
    <t>Based on the costs of the Øresund and Great Belt bridges. No additional O&amp;M are included because of these.</t>
  </si>
  <si>
    <t>New connections after 2020 could be Kattegat,  Helsinger-Helsingborg,  Als-Funen. No additional O&amp;M are included because of these. (correspons to one big constuction pr. ten years.)</t>
  </si>
  <si>
    <t>Based on the costs of the Øresund, Great Belt, and Femern bridges. No additional O&amp;M are included because of these.</t>
  </si>
  <si>
    <t>Excisting metro</t>
  </si>
  <si>
    <t>Rail new construction incl. Metro</t>
  </si>
  <si>
    <t>Percentage rail growth pr. year</t>
  </si>
  <si>
    <t>Rail new constructions (low growth)</t>
  </si>
  <si>
    <t>Rail upgrade 2020 (high growth)</t>
  </si>
  <si>
    <t>Rail upgrade 2030 (high growth)</t>
  </si>
  <si>
    <t>Rail upgrade 2040 (high growth)</t>
  </si>
  <si>
    <t>Rail upgrade 2050 (high growth)</t>
  </si>
  <si>
    <t>Rail operation and maintence</t>
  </si>
  <si>
    <t>p/vehicle</t>
  </si>
  <si>
    <t>t/vehicle</t>
  </si>
  <si>
    <t>Mkm</t>
  </si>
  <si>
    <t>% TJ</t>
  </si>
  <si>
    <t>Mpkm</t>
  </si>
  <si>
    <t>Mtkm</t>
  </si>
  <si>
    <t>No shift in technology / Jet fossil fuels</t>
  </si>
  <si>
    <t>Gas-turbine biogas</t>
  </si>
  <si>
    <t>Gardening and forestry</t>
  </si>
  <si>
    <t>ICE Plug-in hybrid vehicle Diesel</t>
  </si>
  <si>
    <t>Battery electric busses</t>
  </si>
  <si>
    <t>Battery electric vehicles</t>
  </si>
  <si>
    <t>Methanol / Synthetic fuel</t>
  </si>
  <si>
    <t>Methanol / Synthetic</t>
  </si>
  <si>
    <t>Fuel cell hybrid busses Methanol / Synthetic</t>
  </si>
  <si>
    <t>Gas-turbines Synthetic</t>
  </si>
  <si>
    <t>Fuel cell hybrid truck  Methanol / Synthetic</t>
  </si>
  <si>
    <t>Fuel cell hybrid truck Methanol / Synthetic</t>
  </si>
  <si>
    <t>Fuel cell hybrid vehicle Methanol / Synthetic</t>
  </si>
  <si>
    <t>Efficiency Improvements</t>
  </si>
  <si>
    <t>Type of technology</t>
  </si>
  <si>
    <t>Fuel consumpiton after the new technologies are implemented</t>
  </si>
  <si>
    <t>Implementation of potential technologies</t>
  </si>
  <si>
    <t>Total fuel consumption</t>
  </si>
  <si>
    <t>Transport and transport-energy demand by fuel</t>
  </si>
  <si>
    <t>Transport demand by mode of transport</t>
  </si>
  <si>
    <t>Transport-energy demand by mode of tranport</t>
  </si>
  <si>
    <t>Plug-in fuel cell hybrid vehicle Electricity &amp; Methanol / synthetic</t>
  </si>
  <si>
    <t>Diesel (garden/forest)</t>
  </si>
  <si>
    <t>Eff. improvements / Year
(added to ref impr.)</t>
  </si>
  <si>
    <t>Load factor</t>
  </si>
  <si>
    <t>Energy conpsumtion devided by fuel and type of technology</t>
  </si>
  <si>
    <t>All cars and vans (Passenger and freight)</t>
  </si>
  <si>
    <t>Cars and vans &lt; 2 t</t>
  </si>
  <si>
    <t>&lt;250km</t>
  </si>
  <si>
    <t>250-1000km</t>
  </si>
  <si>
    <t>&gt;1000km</t>
  </si>
  <si>
    <t>Car leisure &lt; 25km --&gt; bike/walking</t>
  </si>
  <si>
    <t>car leisure &gt;25 km --&gt; bike/walking</t>
  </si>
  <si>
    <t>Car leisure &gt;50km --&gt; national train (elec.)</t>
  </si>
  <si>
    <t>Car leisure &gt;50km --&gt; bus</t>
  </si>
  <si>
    <t>Car work &lt; 25km --&gt; bike/walking</t>
  </si>
  <si>
    <t>Car work &gt;25 km --&gt; bike/walking</t>
  </si>
  <si>
    <t>Car work &gt;50km --&gt; national train (elec.)</t>
  </si>
  <si>
    <t>Car work  &gt;50km --&gt; bus</t>
  </si>
  <si>
    <t>Car international --&gt; international train</t>
  </si>
  <si>
    <t>Neccersary improvements for improving bus and Car access to stations</t>
  </si>
  <si>
    <t>Capacity of electric Car</t>
  </si>
  <si>
    <t>Vans and cars &lt; 2 t (national)</t>
  </si>
  <si>
    <t>Vans and cars &lt; 2 t (international)</t>
  </si>
  <si>
    <t>Rail (national)</t>
  </si>
  <si>
    <t>Rail (international)</t>
  </si>
  <si>
    <t>Bus (national)</t>
  </si>
  <si>
    <t>Bus (international)</t>
  </si>
  <si>
    <t>Air (national)</t>
  </si>
  <si>
    <t>Air (international)</t>
  </si>
  <si>
    <t>Sea (national)</t>
  </si>
  <si>
    <t>Sea (international)</t>
  </si>
  <si>
    <t>Mode</t>
  </si>
  <si>
    <t>No. of vehicles</t>
  </si>
  <si>
    <t>Potential technologies</t>
  </si>
  <si>
    <t>Truck (national)</t>
  </si>
  <si>
    <t>Truck (international)</t>
  </si>
  <si>
    <t>Passenger</t>
  </si>
  <si>
    <t>Freight</t>
  </si>
  <si>
    <t>Capacities (p/vehicle)</t>
  </si>
  <si>
    <t>Passenger (p/vehicle)</t>
  </si>
  <si>
    <t>Freight (t/vehicle)</t>
  </si>
  <si>
    <t>Load factor (%)</t>
  </si>
  <si>
    <t xml:space="preserve">Passenger </t>
  </si>
  <si>
    <t xml:space="preserve">Freight </t>
  </si>
  <si>
    <t>Specific energy consumption (MJ/km)</t>
  </si>
  <si>
    <t>Cars and vans</t>
  </si>
  <si>
    <t>Trucks (national)</t>
  </si>
  <si>
    <t>Trucks (international)</t>
  </si>
  <si>
    <t xml:space="preserve">No. Of vehicles </t>
  </si>
  <si>
    <t>Current technologies</t>
  </si>
  <si>
    <t>Specific energy consumption with full utilisation (MJ/km)</t>
  </si>
  <si>
    <t>Specific energy consumption with actual utilisation (MJ/km)</t>
  </si>
  <si>
    <t xml:space="preserve">Tables and graphs </t>
  </si>
  <si>
    <t>Infrastructure road</t>
  </si>
  <si>
    <t>Infrastructure rail</t>
  </si>
  <si>
    <t>(From EnergyPLAN)</t>
  </si>
  <si>
    <t>Vehicle</t>
  </si>
  <si>
    <t>Annual costs (DKK/y)</t>
  </si>
  <si>
    <t>Vehicle O&amp;M</t>
  </si>
  <si>
    <t>Vehicle costs</t>
  </si>
  <si>
    <t>No. of cars and vans pr. type</t>
  </si>
  <si>
    <t>Vehicle costs are provided for cars and vans &lt;2 ton, busses and for trucks, as well as charging stations. Trains and included in the infrastructure costs. Airplane costs and ship costs are not included in the tool.</t>
  </si>
  <si>
    <t>New infrastructure road</t>
  </si>
  <si>
    <t>Re-newal Infrastructure road</t>
  </si>
  <si>
    <t>Re-newal Infrastructure rail</t>
  </si>
  <si>
    <t>New infrastructure rail</t>
  </si>
  <si>
    <t>The infrastructure costs are calculated based on historical data as well as knowledge about improvements already agreed upon and about future potential upgradings. If the tool is used with the data included, the high growth costs should be used. If model shift is implemented costs should be considered for those changes. In the tool the infrastructure costs are connected to the growth in transport work and hence costs for maintenence and new infrastructure increases due to increases in transport work.</t>
  </si>
  <si>
    <t>Cars and vans &lt; 2 ton, investments</t>
  </si>
  <si>
    <t>Cars and vans &lt; 2 ton, O&amp;M</t>
  </si>
  <si>
    <t>Charging stations, investments</t>
  </si>
  <si>
    <t>Busses, investments</t>
  </si>
  <si>
    <t>Busses, O&amp;M</t>
  </si>
  <si>
    <t>Trucks, investments</t>
  </si>
  <si>
    <t>Trucks, O&amp;M</t>
  </si>
  <si>
    <t>MDKK/year</t>
  </si>
  <si>
    <t>EV Charging stations</t>
  </si>
  <si>
    <t xml:space="preserve">Vehicles O&amp;M </t>
  </si>
  <si>
    <t>Charging stations</t>
  </si>
  <si>
    <t>Total inv.</t>
  </si>
  <si>
    <t>Total O&amp;M</t>
  </si>
  <si>
    <t>MDKK</t>
  </si>
  <si>
    <t>Life-time</t>
  </si>
  <si>
    <t>Infrastructure road (y)</t>
  </si>
  <si>
    <t>Infrastructure rail (y)</t>
  </si>
  <si>
    <t>Total costs (MDKK)</t>
  </si>
  <si>
    <t>Total annual costs (MDKK/year)</t>
  </si>
  <si>
    <t xml:space="preserve">MDKK/year </t>
  </si>
  <si>
    <t>MDKK/year  (2010)</t>
  </si>
  <si>
    <t>MDKK/year pr. %</t>
  </si>
  <si>
    <t>New Mkm</t>
  </si>
  <si>
    <t>Rail up to European standard incl. Metro city-ring (minimum) and electrification</t>
  </si>
  <si>
    <t>Assummed neccersary in any scencario (including Metro-City ring which corresponds to part of the increase in pkm until 2020 in reference - app. 1,4 mill pkm (233,000 passenger pr. day and average distrance of 6 km). The effect of the "hour model" (timemodellen) is not included in the model, as the official assumptions are that the effect would be very small: the costs are also not included in the reference. Electrification is included here.</t>
  </si>
  <si>
    <t>Corresponds to moving 2,5 per cent of Cars pkm to bycykling, taking into account the improvement of access to other public transport. (additionally 1,600 MPkm)</t>
  </si>
  <si>
    <t>Syn-jetfuel</t>
  </si>
  <si>
    <t xml:space="preserve">Jet fuel </t>
  </si>
  <si>
    <t>Gas-turbines Syn-jetfuel</t>
  </si>
  <si>
    <t>Syn-jetfuel [aviation]</t>
  </si>
  <si>
    <t>Gas-turbines Bio-jetfuel [aviation]</t>
  </si>
  <si>
    <t>Syn-methanol</t>
  </si>
  <si>
    <t>Fuel cell hybrid vehicle Syn-methanol</t>
  </si>
  <si>
    <t>Plug-in fuel cell hybrid vehicle Electricity &amp; Syn-methanol</t>
  </si>
  <si>
    <t>ICE Syn-methanol</t>
  </si>
  <si>
    <t>ICE hybrid vehicle Syn-methanol</t>
  </si>
  <si>
    <t>ICE Plug-in hybrid vehicle Syn-methanol</t>
  </si>
  <si>
    <t>Syn-methanol trains</t>
  </si>
  <si>
    <t>Fuel cell hybrid busses Syn-methanol</t>
  </si>
  <si>
    <t>ICE Hybrid Syn-methanol</t>
  </si>
  <si>
    <t>Fuel cell hybrid truck Syn-methanol</t>
  </si>
  <si>
    <t>Syn-methanol [fishery/ gardening/forestry]</t>
  </si>
  <si>
    <t>Hybrid Syn-methanol (EV % of drive train) [all road/agriculture]</t>
  </si>
  <si>
    <t>Bio-methanol</t>
  </si>
  <si>
    <t>ICE Bio-methanol</t>
  </si>
  <si>
    <t>ICE hybrid vehicle Bio-methanol</t>
  </si>
  <si>
    <t>ICE Plug-in hybrid vehicle Bio-methanol</t>
  </si>
  <si>
    <t>Bio-methanol trains</t>
  </si>
  <si>
    <t>ICE Hybrid Bio-methanol</t>
  </si>
  <si>
    <t>Bio-methanol [fishery/gardening/forestry]</t>
  </si>
  <si>
    <t>Plug-in hybrid vehicle Bio-methanol (EV %of drive train) [all road/agriculture]</t>
  </si>
  <si>
    <t>Gas-turbines Bio-jetfuel</t>
  </si>
  <si>
    <t>Gas-turbines Synthetic Bio-jetfuel</t>
  </si>
  <si>
    <t>Syn-methanol conversion process (CCR)</t>
  </si>
  <si>
    <t>Ratio H2/SynMeOH</t>
  </si>
  <si>
    <t>Total losses</t>
  </si>
  <si>
    <t>tons of CO2/PJ MeOH</t>
  </si>
  <si>
    <t>Ratio H2/BioMeOH</t>
  </si>
  <si>
    <t>Extra losses due to CC (pr. MeOH energy)</t>
  </si>
  <si>
    <t>Ratio Bioenergy/BioMeOH</t>
  </si>
  <si>
    <t>MTons of CO2/TWh MeOH</t>
  </si>
  <si>
    <t>Renewable energy in transport</t>
  </si>
  <si>
    <t>Fuel / Energy</t>
  </si>
  <si>
    <t>Renewal infrastructure road</t>
  </si>
  <si>
    <t>Renewal infrastructure rail</t>
  </si>
  <si>
    <t>V2G</t>
  </si>
  <si>
    <t>Percentage of charging capacity in V2G</t>
  </si>
  <si>
    <t>RE in the EU definition</t>
  </si>
  <si>
    <t>Bio-methanol conversion process (Gasification)</t>
  </si>
  <si>
    <t>Cars and Vans</t>
  </si>
  <si>
    <t>Total Annual Costs (Scenario)</t>
  </si>
  <si>
    <t>Total Costs (Scenario)</t>
  </si>
  <si>
    <t>Description</t>
  </si>
  <si>
    <t>Buffer (% of average)</t>
  </si>
  <si>
    <t>Electrolyser Efficiency (%)</t>
  </si>
  <si>
    <t>Hydrogen Demand (TWh)</t>
  </si>
  <si>
    <t>Year</t>
  </si>
  <si>
    <t>Average Electric Capacity with Buffer (MWe)</t>
  </si>
  <si>
    <t>Hydrogen Storage (GWh)</t>
  </si>
  <si>
    <t>Total Bio-methanol/DME</t>
  </si>
  <si>
    <t>Total Syn-methanol/DME</t>
  </si>
  <si>
    <t>Total Electricity</t>
  </si>
  <si>
    <t>Biomass for Gasification</t>
  </si>
  <si>
    <t>Bio/syn-Jetfuel additional losses (% of fuel output)</t>
  </si>
  <si>
    <t>Generel losses for bio/syn-methanol/DME</t>
  </si>
  <si>
    <t>Electrolyser Capacity Required for Bio-methanol/DME</t>
  </si>
  <si>
    <t>H2 in Biofuel out (TWh)</t>
  </si>
  <si>
    <t>H2 in Synfuel out (TWh)</t>
  </si>
  <si>
    <t>CO2 needed for Synfuels (Mt)</t>
  </si>
  <si>
    <t>CC Extra electricity (TWh)</t>
  </si>
  <si>
    <t>Scenario Input to Energyplan (Includes new train costs)</t>
  </si>
  <si>
    <t>Reference Input to Energyplan (Includes new train costs)</t>
  </si>
  <si>
    <t>Total (excluding charging stations)</t>
  </si>
  <si>
    <t>Transport System Costs</t>
  </si>
  <si>
    <t>Technical Inputs for EnergyPLAN</t>
  </si>
  <si>
    <t>Storage Capacity Used</t>
  </si>
  <si>
    <t>Transport system costs</t>
  </si>
  <si>
    <t>The results for costs that should be used depend on the demand and modal shift changes.</t>
  </si>
  <si>
    <t>MDKK/y</t>
  </si>
  <si>
    <t>Fuel/energy technology</t>
  </si>
  <si>
    <t xml:space="preserve">Low modal shift / high road transport demand growth </t>
  </si>
  <si>
    <t xml:space="preserve">High modal shift / medium transport demand growth </t>
  </si>
  <si>
    <t>Low modal shift / high road transport demand growth, marginal infrastructure costs</t>
  </si>
  <si>
    <t>High modal shift / medium transport demand growth,  marginal infrastructure costs</t>
  </si>
  <si>
    <t>RED Writing marks changes from the ref.</t>
  </si>
  <si>
    <t>ICE Biodiesel</t>
  </si>
  <si>
    <t>Electricity BEV + Plug-in-hybrid</t>
  </si>
  <si>
    <t>Minimum Hydrogen Capacity (MW H2)</t>
  </si>
  <si>
    <t>Minimum Electric Capacity (MWe)</t>
  </si>
  <si>
    <t>Inputs about electric Cars, hybrids and fuel cells</t>
  </si>
  <si>
    <t>MW minimum</t>
  </si>
  <si>
    <t>Electrolyser Capacity Required for biogas hydrogenation to methane</t>
  </si>
  <si>
    <t>Total methanol/DME</t>
  </si>
  <si>
    <t xml:space="preserve">CO2-hydrogenation Capacity Required for Syn-methanol/DME </t>
  </si>
  <si>
    <t>Average Capacity with Buffer (MW-gas)</t>
  </si>
  <si>
    <t>Aggregated electrolyser capacities (Transport electrolyser)</t>
  </si>
  <si>
    <t>Hydrogen Storage (incl. Syngas-storage (GWh)</t>
  </si>
  <si>
    <t>Total infrastructure costs (yearly)</t>
  </si>
  <si>
    <t>Passenger Energy Demand (TJ)</t>
  </si>
  <si>
    <t>Specific Energy Consumption for Passenger Vehicles (MJ/pkm)</t>
  </si>
  <si>
    <t>Annual Energy Efficiency Improvement (%/year)</t>
  </si>
  <si>
    <t>Total Improvement (%)</t>
  </si>
  <si>
    <t>Period</t>
  </si>
  <si>
    <t>Aviation</t>
  </si>
  <si>
    <t>Energy Demand for Passenger Transport (TJ)</t>
  </si>
  <si>
    <t>Energy Demand for Passenger Transport (PJ)</t>
  </si>
  <si>
    <t>Energy Demand for Freight Transport (TJ)</t>
  </si>
  <si>
    <t>Energy Demand for Freight Transport (PJ)</t>
  </si>
  <si>
    <t>Freight Energy Demand (TJ)</t>
  </si>
  <si>
    <t>Specific Energy Consumption for Freight Vehicles (MJ/tkm)</t>
  </si>
  <si>
    <t>Electricity (Train)</t>
  </si>
  <si>
    <t>Energy Demand for Transport (PJ)</t>
  </si>
  <si>
    <t>Load Factors for Passenger Transport (p/vehicle)</t>
  </si>
  <si>
    <t>Specific Energy Consumption for Passenger Transport (MJ/pkm)</t>
  </si>
  <si>
    <t>Specific Energy Consumtption for Freight Sea Transport (MJ/tkm)</t>
  </si>
  <si>
    <t>Load Factors for Freight Transport (t/vehicle)</t>
  </si>
  <si>
    <t>Specific Energy Consumption for Freight Transport (MJ/tkm)</t>
  </si>
  <si>
    <t>Summary (used when reporting results)</t>
  </si>
  <si>
    <t>Passenger Transport Demands (Mpkm)</t>
  </si>
  <si>
    <t>Transport Demand (Mpkm)</t>
  </si>
  <si>
    <t>Growth Rate (%/year)</t>
  </si>
  <si>
    <t>Freight Transport Demands (Mtkm)</t>
  </si>
  <si>
    <t>Transport Demand (Mtkm)</t>
  </si>
  <si>
    <t>This demand scenarios not applied here</t>
  </si>
  <si>
    <t>Contact</t>
  </si>
  <si>
    <t>Sustainable Energy Planning Research Group, Aalborg University. TransportPLAN: Advanced Energy Planning Tool for Transport. Available from: http://www.ceesa.plan.aau.dk/</t>
  </si>
  <si>
    <t>This TransportPLAN model represents a business-as-usual (reference) scenario for the transport sector in Denmark for the years 2010, 2020, 2030, and 2050. It includes a high-increase (HI) in the demand and a continued large dependency on oil.</t>
  </si>
  <si>
    <t>Please reference TransportPLAN as follows</t>
  </si>
  <si>
    <t>Brian Vad Mathiesen, Aalborg University, Denmark
bvm@plan.aau.dk</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</si>
</sst>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
    <numFmt numFmtId="166" formatCode="###\ ###\ ##0;[Red]\-#\ ##0;&quot;-&quot;"/>
    <numFmt numFmtId="167" formatCode="0.000"/>
    <numFmt numFmtId="168" formatCode="0.0"/>
    <numFmt numFmtId="169" formatCode="0.0000"/>
    <numFmt numFmtId="170" formatCode="_ * #,##0_ ;_ * \-#,##0_ ;_ * &quot;-&quot;??_ ;_ @_ "/>
    <numFmt numFmtId="171" formatCode="_ * #,##0.0_ ;_ * \-#,##0.0_ ;_ * &quot;-&quot;??_ ;_ @_ "/>
    <numFmt numFmtId="172" formatCode="_ * #,##0.000000_ ;_ * \-#,##0.000000_ ;_ * &quot;-&quot;??_ ;_ @_ "/>
    <numFmt numFmtId="173" formatCode="#,##0.0"/>
    <numFmt numFmtId="174" formatCode="0.000000"/>
    <numFmt numFmtId="175" formatCode="#,##0_ ;\-#,##0\ "/>
    <numFmt numFmtId="176" formatCode="0_ ;\-0\ "/>
  </numFmts>
  <fonts count="55" x14ac:knownFonts="1">
    <font>
      <sz val="11"/>
      <color theme="1"/>
      <name val="Calibri"/>
      <family val="2"/>
      <scheme val="minor"/>
    </font>
    <font>
      <i/>
      <sz val="11"/>
      <color rgb="FF7F7F7F"/>
      <name val="Calibri"/>
      <family val="2"/>
      <scheme val="minor"/>
    </font>
    <font>
      <b/>
      <sz val="11"/>
      <color theme="1"/>
      <name val="Calibri"/>
      <family val="2"/>
      <scheme val="minor"/>
    </font>
    <font>
      <b/>
      <sz val="11"/>
      <name val="Calibri"/>
      <family val="2"/>
      <scheme val="minor"/>
    </font>
    <font>
      <sz val="11"/>
      <name val="Calibri"/>
      <family val="2"/>
      <scheme val="minor"/>
    </font>
    <font>
      <b/>
      <sz val="8"/>
      <color indexed="81"/>
      <name val="Tahoma"/>
      <family val="2"/>
    </font>
    <font>
      <sz val="8"/>
      <color indexed="81"/>
      <name val="Tahoma"/>
      <family val="2"/>
    </font>
    <font>
      <b/>
      <sz val="14"/>
      <color theme="1"/>
      <name val="Calibri"/>
      <family val="2"/>
      <scheme val="minor"/>
    </font>
    <font>
      <b/>
      <sz val="12"/>
      <color indexed="81"/>
      <name val="Tahoma"/>
      <family val="2"/>
    </font>
    <font>
      <sz val="12"/>
      <color indexed="81"/>
      <name val="Tahoma"/>
      <family val="2"/>
    </font>
    <font>
      <sz val="12"/>
      <color theme="1"/>
      <name val="Calibri"/>
      <family val="2"/>
      <scheme val="minor"/>
    </font>
    <font>
      <b/>
      <sz val="12"/>
      <color theme="1"/>
      <name val="Calibri"/>
      <family val="2"/>
      <scheme val="minor"/>
    </font>
    <font>
      <sz val="11"/>
      <color theme="0" tint="-0.499984740745262"/>
      <name val="Calibri"/>
      <family val="2"/>
      <scheme val="minor"/>
    </font>
    <font>
      <sz val="12"/>
      <name val="Calibri"/>
      <family val="2"/>
      <scheme val="minor"/>
    </font>
    <font>
      <sz val="12"/>
      <color theme="0" tint="-0.499984740745262"/>
      <name val="Calibri"/>
      <family val="2"/>
      <scheme val="minor"/>
    </font>
    <font>
      <sz val="9"/>
      <color indexed="81"/>
      <name val="Tahoma"/>
      <family val="2"/>
    </font>
    <font>
      <b/>
      <sz val="9"/>
      <color indexed="81"/>
      <name val="Tahoma"/>
      <family val="2"/>
    </font>
    <font>
      <b/>
      <sz val="11"/>
      <color theme="0" tint="-0.499984740745262"/>
      <name val="Calibri"/>
      <family val="2"/>
      <scheme val="minor"/>
    </font>
    <font>
      <sz val="11"/>
      <color theme="1"/>
      <name val="Calibri"/>
      <family val="2"/>
      <scheme val="minor"/>
    </font>
    <font>
      <sz val="14"/>
      <color theme="1"/>
      <name val="Calibri"/>
      <family val="2"/>
      <scheme val="minor"/>
    </font>
    <font>
      <b/>
      <sz val="14"/>
      <name val="Calibri"/>
      <family val="2"/>
      <scheme val="minor"/>
    </font>
    <font>
      <sz val="11"/>
      <color rgb="FF3F3F76"/>
      <name val="Calibri"/>
      <family val="2"/>
      <scheme val="minor"/>
    </font>
    <font>
      <b/>
      <sz val="16"/>
      <color theme="1"/>
      <name val="Calibri"/>
      <family val="2"/>
      <scheme val="minor"/>
    </font>
    <font>
      <b/>
      <sz val="16"/>
      <name val="Arial"/>
      <family val="2"/>
    </font>
    <font>
      <b/>
      <sz val="10"/>
      <name val="Arial"/>
      <family val="2"/>
    </font>
    <font>
      <sz val="10"/>
      <name val="Arial"/>
      <family val="2"/>
    </font>
    <font>
      <sz val="11"/>
      <color rgb="FF9C6500"/>
      <name val="Calibri"/>
      <family val="2"/>
      <scheme val="minor"/>
    </font>
    <font>
      <sz val="16"/>
      <color rgb="FF9C6500"/>
      <name val="Calibri"/>
      <family val="2"/>
      <scheme val="minor"/>
    </font>
    <font>
      <sz val="16"/>
      <color rgb="FF006100"/>
      <name val="Calibri"/>
      <family val="2"/>
      <scheme val="minor"/>
    </font>
    <font>
      <sz val="16"/>
      <color theme="1"/>
      <name val="Calibri"/>
      <family val="2"/>
      <scheme val="minor"/>
    </font>
    <font>
      <b/>
      <sz val="11"/>
      <color rgb="FF9C6500"/>
      <name val="Calibri"/>
      <family val="2"/>
      <scheme val="minor"/>
    </font>
    <font>
      <sz val="16"/>
      <name val="Calibri"/>
      <family val="2"/>
      <scheme val="minor"/>
    </font>
    <font>
      <b/>
      <sz val="12"/>
      <color theme="2"/>
      <name val="Calibri"/>
      <family val="2"/>
      <scheme val="minor"/>
    </font>
    <font>
      <b/>
      <sz val="14"/>
      <color theme="2"/>
      <name val="Calibri"/>
      <family val="2"/>
      <scheme val="minor"/>
    </font>
    <font>
      <b/>
      <sz val="20"/>
      <color theme="2"/>
      <name val="Calibri"/>
      <family val="2"/>
      <scheme val="minor"/>
    </font>
    <font>
      <b/>
      <i/>
      <sz val="11"/>
      <color theme="1"/>
      <name val="Calibri"/>
      <family val="2"/>
      <scheme val="minor"/>
    </font>
    <font>
      <i/>
      <sz val="11"/>
      <color theme="1"/>
      <name val="Calibri"/>
      <family val="2"/>
      <scheme val="minor"/>
    </font>
    <font>
      <sz val="11"/>
      <color rgb="FF00B0F0"/>
      <name val="Calibri"/>
      <family val="2"/>
      <scheme val="minor"/>
    </font>
    <font>
      <b/>
      <i/>
      <sz val="20"/>
      <color rgb="FF00B0F0"/>
      <name val="Calibri"/>
      <family val="2"/>
      <scheme val="minor"/>
    </font>
    <font>
      <sz val="20"/>
      <color rgb="FF00B0F0"/>
      <name val="Calibri"/>
      <family val="2"/>
      <scheme val="minor"/>
    </font>
    <font>
      <b/>
      <sz val="14"/>
      <color rgb="FFFFFF00"/>
      <name val="Calibri"/>
      <family val="2"/>
      <scheme val="minor"/>
    </font>
    <font>
      <b/>
      <u/>
      <sz val="11"/>
      <color theme="1"/>
      <name val="Calibri"/>
      <family val="2"/>
      <scheme val="minor"/>
    </font>
    <font>
      <b/>
      <sz val="18"/>
      <color rgb="FF000000"/>
      <name val="Calibri"/>
      <family val="2"/>
      <scheme val="minor"/>
    </font>
    <font>
      <sz val="11"/>
      <color rgb="FFFF0000"/>
      <name val="Calibri"/>
      <family val="2"/>
      <scheme val="minor"/>
    </font>
    <font>
      <sz val="11"/>
      <color rgb="FF7030A0"/>
      <name val="Calibri"/>
      <family val="2"/>
      <scheme val="minor"/>
    </font>
    <font>
      <b/>
      <sz val="11"/>
      <color theme="2"/>
      <name val="Calibri"/>
      <family val="2"/>
      <scheme val="minor"/>
    </font>
    <font>
      <b/>
      <sz val="12"/>
      <name val="Calibri"/>
      <family val="2"/>
      <scheme val="minor"/>
    </font>
    <font>
      <sz val="11"/>
      <color theme="1" tint="0.34998626667073579"/>
      <name val="Calibri"/>
      <family val="2"/>
      <scheme val="minor"/>
    </font>
    <font>
      <sz val="11"/>
      <color theme="1"/>
      <name val="Calibri"/>
      <family val="2"/>
    </font>
    <font>
      <b/>
      <sz val="9"/>
      <color rgb="FF000000"/>
      <name val="Tahoma"/>
      <family val="2"/>
    </font>
    <font>
      <sz val="9"/>
      <color rgb="FF000000"/>
      <name val="Tahoma"/>
      <family val="2"/>
    </font>
    <font>
      <b/>
      <sz val="10"/>
      <color theme="1"/>
      <name val="Times New Roman"/>
      <family val="1"/>
    </font>
    <font>
      <b/>
      <sz val="12"/>
      <name val="Times New Roman"/>
      <family val="1"/>
    </font>
    <font>
      <sz val="12"/>
      <name val="Times New Roman"/>
      <family val="1"/>
    </font>
    <font>
      <sz val="10"/>
      <color theme="1"/>
      <name val="Times New Roman"/>
      <family val="1"/>
    </font>
  </fonts>
  <fills count="3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CC99"/>
      </patternFill>
    </fill>
    <fill>
      <patternFill patternType="solid">
        <fgColor rgb="FFFFEB9C"/>
      </patternFill>
    </fill>
    <fill>
      <patternFill patternType="solid">
        <fgColor rgb="FF92D05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bgColor indexed="64"/>
      </patternFill>
    </fill>
    <fill>
      <patternFill patternType="solid">
        <fgColor theme="5" tint="0.79998168889431442"/>
        <bgColor indexed="64"/>
      </patternFill>
    </fill>
    <fill>
      <patternFill patternType="solid">
        <fgColor theme="7"/>
        <bgColor indexed="64"/>
      </patternFill>
    </fill>
    <fill>
      <patternFill patternType="solid">
        <fgColor theme="6"/>
        <bgColor indexed="64"/>
      </patternFill>
    </fill>
    <fill>
      <patternFill patternType="solid">
        <fgColor theme="0" tint="-4.9989318521683403E-2"/>
        <bgColor indexed="64"/>
      </patternFill>
    </fill>
    <fill>
      <patternFill patternType="solid">
        <fgColor theme="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0000"/>
        <bgColor indexed="64"/>
      </patternFill>
    </fill>
  </fills>
  <borders count="85">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s>
  <cellStyleXfs count="7">
    <xf numFmtId="0" fontId="0" fillId="0" borderId="0"/>
    <xf numFmtId="0" fontId="1" fillId="0" borderId="0" applyNumberFormat="0" applyFill="0" applyBorder="0" applyAlignment="0" applyProtection="0"/>
    <xf numFmtId="0" fontId="21" fillId="4" borderId="26" applyNumberFormat="0" applyAlignment="0" applyProtection="0"/>
    <xf numFmtId="9" fontId="18" fillId="0" borderId="0" applyFont="0" applyFill="0" applyBorder="0" applyAlignment="0" applyProtection="0"/>
    <xf numFmtId="164" fontId="18" fillId="0" borderId="0" applyFont="0" applyFill="0" applyBorder="0" applyAlignment="0" applyProtection="0"/>
    <xf numFmtId="0" fontId="25" fillId="0" borderId="0"/>
    <xf numFmtId="0" fontId="26" fillId="5" borderId="0" applyNumberFormat="0" applyBorder="0" applyAlignment="0" applyProtection="0"/>
  </cellStyleXfs>
  <cellXfs count="2078">
    <xf numFmtId="0" fontId="0" fillId="0" borderId="0" xfId="0"/>
    <xf numFmtId="0" fontId="2" fillId="0" borderId="0" xfId="0" applyFont="1"/>
    <xf numFmtId="0" fontId="0" fillId="0" borderId="0" xfId="0" applyBorder="1"/>
    <xf numFmtId="0" fontId="0" fillId="0" borderId="6"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xf>
    <xf numFmtId="10" fontId="0" fillId="0" borderId="0" xfId="0" applyNumberFormat="1" applyBorder="1"/>
    <xf numFmtId="0" fontId="0" fillId="0" borderId="0" xfId="0" applyFill="1"/>
    <xf numFmtId="0" fontId="0" fillId="0" borderId="0" xfId="0" applyFill="1" applyBorder="1"/>
    <xf numFmtId="1" fontId="0" fillId="0" borderId="0" xfId="0" applyNumberFormat="1" applyFill="1" applyBorder="1"/>
    <xf numFmtId="0" fontId="0" fillId="0" borderId="11" xfId="0" applyFill="1" applyBorder="1"/>
    <xf numFmtId="0" fontId="0" fillId="0" borderId="7" xfId="0" applyFill="1" applyBorder="1"/>
    <xf numFmtId="10" fontId="0" fillId="0" borderId="11" xfId="0" applyNumberFormat="1" applyBorder="1"/>
    <xf numFmtId="10" fontId="0" fillId="0" borderId="4" xfId="0" applyNumberFormat="1" applyBorder="1"/>
    <xf numFmtId="10" fontId="0" fillId="0" borderId="0" xfId="0" applyNumberFormat="1" applyFill="1" applyBorder="1"/>
    <xf numFmtId="0" fontId="11" fillId="0" borderId="0" xfId="0" applyFont="1" applyFill="1" applyBorder="1"/>
    <xf numFmtId="1" fontId="0" fillId="0" borderId="0" xfId="0" applyNumberFormat="1" applyFont="1" applyFill="1" applyBorder="1" applyAlignment="1">
      <alignment horizontal="center"/>
    </xf>
    <xf numFmtId="1" fontId="0" fillId="0" borderId="11" xfId="0" applyNumberFormat="1" applyFill="1" applyBorder="1"/>
    <xf numFmtId="0" fontId="2" fillId="0" borderId="8" xfId="0" applyFont="1" applyFill="1" applyBorder="1"/>
    <xf numFmtId="168" fontId="0" fillId="0" borderId="0" xfId="0" applyNumberFormat="1"/>
    <xf numFmtId="10" fontId="0" fillId="0" borderId="4" xfId="0" applyNumberFormat="1" applyFill="1" applyBorder="1"/>
    <xf numFmtId="10" fontId="0" fillId="0" borderId="6" xfId="0" applyNumberFormat="1" applyFill="1" applyBorder="1"/>
    <xf numFmtId="10" fontId="0" fillId="0" borderId="20" xfId="0" applyNumberFormat="1" applyBorder="1"/>
    <xf numFmtId="10" fontId="0" fillId="0" borderId="6" xfId="0" applyNumberFormat="1" applyBorder="1"/>
    <xf numFmtId="9" fontId="0" fillId="0" borderId="0" xfId="3" applyFont="1" applyFill="1" applyBorder="1"/>
    <xf numFmtId="0" fontId="0" fillId="0" borderId="31" xfId="0" applyFill="1" applyBorder="1"/>
    <xf numFmtId="166" fontId="20" fillId="0" borderId="0" xfId="0" applyNumberFormat="1" applyFont="1" applyFill="1" applyBorder="1" applyAlignment="1">
      <alignment vertical="top"/>
    </xf>
    <xf numFmtId="166" fontId="4" fillId="0" borderId="0" xfId="0" applyNumberFormat="1" applyFont="1" applyFill="1" applyBorder="1" applyAlignment="1">
      <alignment vertical="top"/>
    </xf>
    <xf numFmtId="0" fontId="0" fillId="0" borderId="9" xfId="0" applyFill="1" applyBorder="1"/>
    <xf numFmtId="0" fontId="0" fillId="0" borderId="12" xfId="0" applyFill="1" applyBorder="1"/>
    <xf numFmtId="0" fontId="0" fillId="0" borderId="10" xfId="0" applyFill="1" applyBorder="1"/>
    <xf numFmtId="9" fontId="0" fillId="0" borderId="0" xfId="3" applyFont="1" applyFill="1"/>
    <xf numFmtId="1" fontId="0" fillId="0" borderId="0" xfId="0" applyNumberFormat="1" applyFill="1"/>
    <xf numFmtId="167" fontId="0" fillId="0" borderId="0" xfId="0" applyNumberFormat="1" applyFill="1"/>
    <xf numFmtId="0" fontId="0" fillId="0" borderId="4" xfId="0" applyFill="1" applyBorder="1"/>
    <xf numFmtId="165" fontId="0" fillId="0" borderId="0" xfId="0" applyNumberFormat="1" applyFill="1"/>
    <xf numFmtId="9" fontId="0" fillId="0" borderId="0" xfId="0" applyNumberFormat="1" applyFill="1"/>
    <xf numFmtId="1" fontId="0" fillId="0" borderId="9" xfId="0" applyNumberFormat="1" applyFill="1" applyBorder="1"/>
    <xf numFmtId="1" fontId="0" fillId="0" borderId="10" xfId="0" applyNumberFormat="1" applyFill="1" applyBorder="1"/>
    <xf numFmtId="164" fontId="0" fillId="0" borderId="0" xfId="0" applyNumberFormat="1" applyFill="1"/>
    <xf numFmtId="9" fontId="0" fillId="0" borderId="11" xfId="3" applyFont="1" applyFill="1" applyBorder="1"/>
    <xf numFmtId="0" fontId="10" fillId="0" borderId="0" xfId="0" applyFont="1" applyFill="1"/>
    <xf numFmtId="0" fontId="32" fillId="7" borderId="0" xfId="0" applyFont="1" applyFill="1" applyBorder="1" applyAlignment="1">
      <alignment horizontal="center"/>
    </xf>
    <xf numFmtId="0" fontId="32" fillId="7" borderId="12" xfId="0" applyFont="1" applyFill="1" applyBorder="1" applyAlignment="1">
      <alignment horizontal="center"/>
    </xf>
    <xf numFmtId="9" fontId="32" fillId="7" borderId="12" xfId="3" applyFont="1" applyFill="1" applyBorder="1" applyAlignment="1">
      <alignment horizontal="center"/>
    </xf>
    <xf numFmtId="0" fontId="32" fillId="7" borderId="7" xfId="0" applyFont="1" applyFill="1" applyBorder="1" applyAlignment="1">
      <alignment horizontal="center"/>
    </xf>
    <xf numFmtId="0" fontId="32" fillId="7" borderId="13" xfId="0" applyFont="1" applyFill="1" applyBorder="1" applyAlignment="1">
      <alignment horizontal="center"/>
    </xf>
    <xf numFmtId="0" fontId="19" fillId="0" borderId="0" xfId="0" applyFont="1" applyFill="1" applyAlignment="1">
      <alignment horizontal="center" vertical="center"/>
    </xf>
    <xf numFmtId="0" fontId="0" fillId="0" borderId="0" xfId="0" applyFont="1" applyFill="1"/>
    <xf numFmtId="1" fontId="2" fillId="0" borderId="23" xfId="0" applyNumberFormat="1" applyFont="1" applyFill="1" applyBorder="1" applyAlignment="1">
      <alignment horizontal="center"/>
    </xf>
    <xf numFmtId="0" fontId="0" fillId="0" borderId="0" xfId="0" applyFill="1" applyBorder="1" applyAlignment="1"/>
    <xf numFmtId="0" fontId="0" fillId="0" borderId="31" xfId="0" applyFill="1" applyBorder="1" applyAlignment="1"/>
    <xf numFmtId="0" fontId="0" fillId="0" borderId="34" xfId="0" applyFill="1" applyBorder="1" applyAlignment="1"/>
    <xf numFmtId="2" fontId="0" fillId="0" borderId="0" xfId="0" applyNumberFormat="1" applyFill="1" applyBorder="1" applyAlignment="1"/>
    <xf numFmtId="0" fontId="0" fillId="0" borderId="11" xfId="0" applyFill="1" applyBorder="1" applyAlignment="1"/>
    <xf numFmtId="1" fontId="0" fillId="0" borderId="0" xfId="0" applyNumberFormat="1" applyFont="1" applyFill="1" applyBorder="1" applyAlignment="1">
      <alignment horizontal="center" vertical="center"/>
    </xf>
    <xf numFmtId="1" fontId="2" fillId="0" borderId="31"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1" fontId="2" fillId="0" borderId="31" xfId="0" applyNumberFormat="1" applyFont="1" applyFill="1" applyBorder="1" applyAlignment="1">
      <alignment horizontal="center"/>
    </xf>
    <xf numFmtId="9" fontId="32" fillId="7" borderId="13" xfId="3" applyFont="1" applyFill="1" applyBorder="1" applyAlignment="1">
      <alignment horizontal="center"/>
    </xf>
    <xf numFmtId="2" fontId="0" fillId="0" borderId="0" xfId="0" applyNumberFormat="1" applyFont="1" applyFill="1" applyBorder="1" applyAlignment="1">
      <alignment horizontal="center" vertical="center"/>
    </xf>
    <xf numFmtId="1" fontId="0" fillId="0" borderId="0" xfId="0" applyNumberFormat="1" applyFont="1" applyBorder="1" applyAlignment="1">
      <alignment horizontal="center" vertical="center"/>
    </xf>
    <xf numFmtId="165" fontId="0" fillId="0" borderId="11" xfId="0" applyNumberFormat="1" applyFont="1" applyFill="1" applyBorder="1" applyAlignment="1">
      <alignment horizontal="center" vertical="center"/>
    </xf>
    <xf numFmtId="9" fontId="0" fillId="11" borderId="1" xfId="0" applyNumberFormat="1" applyFont="1" applyFill="1" applyBorder="1" applyAlignment="1">
      <alignment horizontal="center" vertical="center"/>
    </xf>
    <xf numFmtId="0" fontId="32" fillId="7" borderId="6" xfId="0" applyFont="1" applyFill="1" applyBorder="1" applyAlignment="1">
      <alignment horizontal="center"/>
    </xf>
    <xf numFmtId="0" fontId="32" fillId="7" borderId="11" xfId="0" applyFont="1" applyFill="1" applyBorder="1" applyAlignment="1">
      <alignment horizontal="center"/>
    </xf>
    <xf numFmtId="9" fontId="0" fillId="6" borderId="1" xfId="0" applyNumberFormat="1" applyFont="1" applyFill="1" applyBorder="1" applyAlignment="1">
      <alignment horizontal="center" vertical="center"/>
    </xf>
    <xf numFmtId="0" fontId="10" fillId="0" borderId="0" xfId="0" applyFont="1" applyFill="1" applyBorder="1"/>
    <xf numFmtId="0" fontId="14" fillId="0" borderId="0" xfId="0" applyFont="1" applyFill="1" applyBorder="1"/>
    <xf numFmtId="0" fontId="25" fillId="0" borderId="0" xfId="5"/>
    <xf numFmtId="0" fontId="33" fillId="7" borderId="14" xfId="0" applyFont="1" applyFill="1" applyBorder="1" applyAlignment="1">
      <alignment horizontal="center" vertical="center" wrapText="1"/>
    </xf>
    <xf numFmtId="0" fontId="32" fillId="7" borderId="16" xfId="0" applyFont="1" applyFill="1" applyBorder="1" applyAlignment="1">
      <alignment horizontal="center"/>
    </xf>
    <xf numFmtId="0" fontId="0" fillId="0" borderId="0" xfId="0"/>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9" fontId="0" fillId="0" borderId="0" xfId="0" applyNumberFormat="1" applyFill="1" applyBorder="1" applyAlignment="1">
      <alignment horizontal="center"/>
    </xf>
    <xf numFmtId="0" fontId="0" fillId="0" borderId="0" xfId="0" applyFill="1" applyBorder="1" applyAlignment="1">
      <alignment horizontal="center"/>
    </xf>
    <xf numFmtId="9" fontId="0" fillId="0" borderId="0" xfId="0" applyNumberFormat="1" applyFont="1" applyFill="1" applyBorder="1" applyAlignment="1">
      <alignment horizontal="center"/>
    </xf>
    <xf numFmtId="0" fontId="0" fillId="0" borderId="0" xfId="0" applyBorder="1" applyAlignment="1">
      <alignment horizontal="center"/>
    </xf>
    <xf numFmtId="10" fontId="0" fillId="2" borderId="14" xfId="0" applyNumberFormat="1" applyFill="1" applyBorder="1"/>
    <xf numFmtId="10" fontId="0" fillId="2" borderId="15" xfId="0" applyNumberFormat="1" applyFill="1" applyBorder="1"/>
    <xf numFmtId="10" fontId="0" fillId="2" borderId="16" xfId="0" applyNumberFormat="1" applyFill="1" applyBorder="1"/>
    <xf numFmtId="0" fontId="25" fillId="0" borderId="0" xfId="5" applyBorder="1"/>
    <xf numFmtId="10" fontId="0" fillId="2" borderId="15" xfId="0" applyNumberFormat="1" applyFill="1" applyBorder="1" applyProtection="1">
      <protection locked="0"/>
    </xf>
    <xf numFmtId="10" fontId="0" fillId="2" borderId="16" xfId="0" applyNumberFormat="1" applyFill="1" applyBorder="1" applyProtection="1">
      <protection locked="0"/>
    </xf>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10" fontId="0" fillId="0" borderId="0" xfId="0" applyNumberFormat="1" applyBorder="1" applyAlignment="1"/>
    <xf numFmtId="0" fontId="13" fillId="0" borderId="0" xfId="0" applyFont="1" applyFill="1" applyBorder="1"/>
    <xf numFmtId="0" fontId="10" fillId="0" borderId="0" xfId="1" applyFont="1" applyFill="1" applyBorder="1" applyAlignment="1">
      <alignment vertical="center"/>
    </xf>
    <xf numFmtId="10" fontId="2" fillId="0" borderId="6" xfId="0" applyNumberFormat="1" applyFont="1" applyFill="1" applyBorder="1"/>
    <xf numFmtId="10" fontId="2" fillId="0" borderId="0" xfId="0" applyNumberFormat="1" applyFont="1" applyFill="1" applyBorder="1"/>
    <xf numFmtId="10" fontId="2" fillId="0" borderId="11" xfId="0" applyNumberFormat="1" applyFont="1" applyBorder="1"/>
    <xf numFmtId="10" fontId="2" fillId="0" borderId="8" xfId="0" applyNumberFormat="1" applyFont="1" applyFill="1" applyBorder="1"/>
    <xf numFmtId="10" fontId="2" fillId="0" borderId="9" xfId="0" applyNumberFormat="1" applyFont="1" applyFill="1" applyBorder="1"/>
    <xf numFmtId="10" fontId="2" fillId="0" borderId="10" xfId="0" applyNumberFormat="1" applyFont="1" applyBorder="1"/>
    <xf numFmtId="1" fontId="36" fillId="0" borderId="0" xfId="0" applyNumberFormat="1" applyFont="1" applyFill="1" applyBorder="1" applyAlignment="1">
      <alignment horizontal="center"/>
    </xf>
    <xf numFmtId="10" fontId="0" fillId="0" borderId="11" xfId="0" applyNumberFormat="1" applyBorder="1" applyAlignment="1"/>
    <xf numFmtId="1" fontId="35" fillId="0" borderId="9" xfId="0" applyNumberFormat="1" applyFont="1" applyFill="1" applyBorder="1" applyAlignment="1">
      <alignment horizontal="center"/>
    </xf>
    <xf numFmtId="0" fontId="33" fillId="7" borderId="8" xfId="0" applyFont="1" applyFill="1" applyBorder="1" applyAlignment="1">
      <alignment horizontal="center" vertical="center"/>
    </xf>
    <xf numFmtId="1" fontId="2" fillId="0" borderId="10" xfId="0" applyNumberFormat="1" applyFont="1" applyFill="1" applyBorder="1" applyAlignment="1">
      <alignment horizontal="center"/>
    </xf>
    <xf numFmtId="1" fontId="0"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10" fontId="0" fillId="2" borderId="14" xfId="0" applyNumberFormat="1" applyFill="1" applyBorder="1" applyAlignment="1"/>
    <xf numFmtId="10" fontId="0" fillId="2" borderId="16" xfId="0" applyNumberFormat="1" applyFill="1" applyBorder="1" applyAlignment="1"/>
    <xf numFmtId="10" fontId="2" fillId="0" borderId="21" xfId="0" applyNumberFormat="1" applyFont="1" applyFill="1" applyBorder="1"/>
    <xf numFmtId="10" fontId="2" fillId="0" borderId="22" xfId="0" applyNumberFormat="1" applyFont="1" applyFill="1" applyBorder="1"/>
    <xf numFmtId="10" fontId="2" fillId="0" borderId="23" xfId="0" applyNumberFormat="1" applyFont="1" applyBorder="1"/>
    <xf numFmtId="10" fontId="2" fillId="0" borderId="33" xfId="0" applyNumberFormat="1" applyFont="1" applyFill="1" applyBorder="1"/>
    <xf numFmtId="10" fontId="2" fillId="0" borderId="31" xfId="0" applyNumberFormat="1" applyFont="1" applyFill="1" applyBorder="1"/>
    <xf numFmtId="1" fontId="35" fillId="0" borderId="31" xfId="0" applyNumberFormat="1" applyFont="1" applyFill="1" applyBorder="1" applyAlignment="1">
      <alignment horizontal="center"/>
    </xf>
    <xf numFmtId="1" fontId="2" fillId="0" borderId="34" xfId="0" applyNumberFormat="1" applyFont="1" applyFill="1" applyBorder="1" applyAlignment="1">
      <alignment horizontal="center"/>
    </xf>
    <xf numFmtId="10" fontId="2" fillId="0" borderId="34" xfId="0" applyNumberFormat="1" applyFont="1" applyBorder="1"/>
    <xf numFmtId="1" fontId="36" fillId="0" borderId="4" xfId="0" applyNumberFormat="1" applyFont="1" applyFill="1" applyBorder="1" applyAlignment="1">
      <alignment horizontal="center"/>
    </xf>
    <xf numFmtId="1" fontId="0" fillId="0" borderId="20" xfId="0" applyNumberFormat="1" applyFont="1" applyFill="1" applyBorder="1" applyAlignment="1">
      <alignment horizontal="center"/>
    </xf>
    <xf numFmtId="0" fontId="11" fillId="3" borderId="15" xfId="0" applyFont="1" applyFill="1" applyBorder="1"/>
    <xf numFmtId="0" fontId="11" fillId="3" borderId="14" xfId="0" applyFont="1" applyFill="1" applyBorder="1"/>
    <xf numFmtId="0" fontId="13" fillId="3" borderId="15" xfId="0" applyFont="1" applyFill="1" applyBorder="1"/>
    <xf numFmtId="0" fontId="14" fillId="3" borderId="15" xfId="0" applyFont="1" applyFill="1" applyBorder="1"/>
    <xf numFmtId="0" fontId="10" fillId="3" borderId="15" xfId="0" applyFont="1" applyFill="1" applyBorder="1"/>
    <xf numFmtId="0" fontId="11" fillId="3" borderId="28" xfId="0" applyFont="1" applyFill="1" applyBorder="1"/>
    <xf numFmtId="0" fontId="11" fillId="3" borderId="16" xfId="0" applyFont="1" applyFill="1" applyBorder="1"/>
    <xf numFmtId="0" fontId="13" fillId="3" borderId="16" xfId="0" applyFont="1" applyFill="1" applyBorder="1"/>
    <xf numFmtId="9" fontId="0" fillId="0" borderId="15" xfId="0" applyNumberFormat="1" applyFont="1" applyFill="1" applyBorder="1" applyAlignment="1">
      <alignment horizontal="center"/>
    </xf>
    <xf numFmtId="9" fontId="0" fillId="0" borderId="16" xfId="0" applyNumberFormat="1" applyFill="1" applyBorder="1" applyAlignment="1">
      <alignment horizontal="center"/>
    </xf>
    <xf numFmtId="10" fontId="0" fillId="2" borderId="15" xfId="0" applyNumberFormat="1" applyFill="1" applyBorder="1" applyAlignment="1"/>
    <xf numFmtId="0" fontId="0" fillId="0" borderId="0" xfId="0" applyFill="1" applyBorder="1" applyAlignment="1">
      <alignment horizontal="center"/>
    </xf>
    <xf numFmtId="0" fontId="13" fillId="3" borderId="25" xfId="0" applyFont="1" applyFill="1" applyBorder="1"/>
    <xf numFmtId="0" fontId="11" fillId="3" borderId="35" xfId="0" applyFont="1" applyFill="1" applyBorder="1"/>
    <xf numFmtId="10" fontId="0" fillId="0" borderId="8" xfId="0" applyNumberFormat="1" applyFont="1" applyFill="1" applyBorder="1"/>
    <xf numFmtId="10" fontId="0" fillId="0" borderId="0" xfId="0" applyNumberFormat="1" applyFont="1" applyFill="1" applyBorder="1"/>
    <xf numFmtId="10" fontId="0" fillId="0" borderId="6" xfId="0" applyNumberFormat="1" applyFont="1" applyFill="1" applyBorder="1"/>
    <xf numFmtId="10" fontId="2" fillId="2" borderId="28" xfId="0" applyNumberFormat="1" applyFont="1" applyFill="1" applyBorder="1"/>
    <xf numFmtId="10" fontId="0" fillId="2" borderId="10" xfId="0" applyNumberFormat="1" applyFill="1" applyBorder="1" applyAlignment="1"/>
    <xf numFmtId="10" fontId="0" fillId="2" borderId="11" xfId="0" applyNumberFormat="1" applyFill="1" applyBorder="1" applyAlignment="1"/>
    <xf numFmtId="10" fontId="0" fillId="2" borderId="13" xfId="0" applyNumberFormat="1" applyFill="1" applyBorder="1" applyAlignment="1"/>
    <xf numFmtId="10" fontId="2" fillId="2" borderId="23" xfId="0" applyNumberFormat="1" applyFont="1" applyFill="1" applyBorder="1"/>
    <xf numFmtId="0" fontId="10" fillId="3" borderId="35" xfId="0" applyFont="1" applyFill="1" applyBorder="1"/>
    <xf numFmtId="0" fontId="10" fillId="3" borderId="28" xfId="0" applyFont="1" applyFill="1" applyBorder="1"/>
    <xf numFmtId="0" fontId="0" fillId="0" borderId="11" xfId="0" applyBorder="1"/>
    <xf numFmtId="10" fontId="2" fillId="0" borderId="38" xfId="0" applyNumberFormat="1" applyFont="1" applyFill="1" applyBorder="1"/>
    <xf numFmtId="1" fontId="35" fillId="0" borderId="38" xfId="0" applyNumberFormat="1" applyFont="1" applyFill="1" applyBorder="1" applyAlignment="1">
      <alignment horizontal="center"/>
    </xf>
    <xf numFmtId="1" fontId="2" fillId="0" borderId="39" xfId="0" applyNumberFormat="1" applyFont="1" applyFill="1" applyBorder="1" applyAlignment="1">
      <alignment horizontal="center"/>
    </xf>
    <xf numFmtId="1" fontId="2" fillId="0" borderId="38" xfId="0" applyNumberFormat="1" applyFont="1" applyFill="1" applyBorder="1" applyAlignment="1">
      <alignment horizontal="center"/>
    </xf>
    <xf numFmtId="0" fontId="33" fillId="7" borderId="14" xfId="0" applyFont="1" applyFill="1" applyBorder="1" applyAlignment="1">
      <alignment horizontal="center" vertical="center"/>
    </xf>
    <xf numFmtId="0" fontId="32" fillId="7" borderId="15" xfId="0" applyFont="1" applyFill="1" applyBorder="1" applyAlignment="1">
      <alignment horizontal="center"/>
    </xf>
    <xf numFmtId="10" fontId="2" fillId="0" borderId="14" xfId="0" applyNumberFormat="1" applyFont="1" applyBorder="1"/>
    <xf numFmtId="10" fontId="0" fillId="0" borderId="15" xfId="0" applyNumberFormat="1" applyBorder="1"/>
    <xf numFmtId="0" fontId="0" fillId="0" borderId="15" xfId="0" applyBorder="1"/>
    <xf numFmtId="10" fontId="2" fillId="0" borderId="28" xfId="0" applyNumberFormat="1" applyFont="1" applyBorder="1"/>
    <xf numFmtId="0" fontId="0" fillId="0" borderId="6" xfId="0" applyBorder="1"/>
    <xf numFmtId="0" fontId="0" fillId="0" borderId="6" xfId="0" applyFill="1" applyBorder="1" applyAlignment="1"/>
    <xf numFmtId="165" fontId="0" fillId="0" borderId="0" xfId="3" applyNumberFormat="1" applyFont="1" applyFill="1" applyBorder="1"/>
    <xf numFmtId="165" fontId="0" fillId="0" borderId="11" xfId="3" applyNumberFormat="1" applyFont="1" applyFill="1" applyBorder="1"/>
    <xf numFmtId="165" fontId="0" fillId="0" borderId="12" xfId="3" applyNumberFormat="1" applyFont="1" applyFill="1" applyBorder="1"/>
    <xf numFmtId="165" fontId="0" fillId="0" borderId="13" xfId="3" applyNumberFormat="1" applyFont="1" applyFill="1" applyBorder="1"/>
    <xf numFmtId="1" fontId="0" fillId="0" borderId="0" xfId="0" applyNumberFormat="1" applyBorder="1"/>
    <xf numFmtId="1" fontId="0" fillId="0" borderId="12" xfId="0" applyNumberFormat="1" applyBorder="1"/>
    <xf numFmtId="1" fontId="0" fillId="0" borderId="12" xfId="0" applyNumberFormat="1" applyFill="1" applyBorder="1"/>
    <xf numFmtId="1" fontId="0" fillId="0" borderId="13" xfId="0" applyNumberFormat="1" applyFill="1" applyBorder="1"/>
    <xf numFmtId="165" fontId="0" fillId="0" borderId="0" xfId="3" applyNumberFormat="1" applyFont="1" applyBorder="1"/>
    <xf numFmtId="165" fontId="0" fillId="0" borderId="11" xfId="3" applyNumberFormat="1" applyFont="1" applyBorder="1"/>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33" fillId="7" borderId="9" xfId="0" applyFont="1" applyFill="1" applyBorder="1" applyAlignment="1">
      <alignment horizontal="center" vertical="center"/>
    </xf>
    <xf numFmtId="0" fontId="25" fillId="0" borderId="9" xfId="5" applyBorder="1"/>
    <xf numFmtId="0" fontId="25" fillId="0" borderId="10" xfId="5" applyBorder="1"/>
    <xf numFmtId="0" fontId="25" fillId="0" borderId="6" xfId="5" applyBorder="1"/>
    <xf numFmtId="0" fontId="25" fillId="0" borderId="7" xfId="5" applyBorder="1"/>
    <xf numFmtId="0" fontId="24" fillId="0" borderId="8" xfId="5" applyFont="1" applyBorder="1"/>
    <xf numFmtId="2" fontId="25" fillId="0" borderId="0" xfId="5" applyNumberFormat="1" applyBorder="1"/>
    <xf numFmtId="1" fontId="25" fillId="0" borderId="0" xfId="5" applyNumberFormat="1" applyBorder="1"/>
    <xf numFmtId="1" fontId="25" fillId="0" borderId="11" xfId="5" applyNumberFormat="1" applyBorder="1"/>
    <xf numFmtId="1" fontId="25" fillId="0" borderId="12" xfId="5" applyNumberFormat="1" applyBorder="1"/>
    <xf numFmtId="1" fontId="25" fillId="0" borderId="13" xfId="5" applyNumberFormat="1" applyBorder="1"/>
    <xf numFmtId="1" fontId="0" fillId="0" borderId="0" xfId="0" applyNumberFormat="1"/>
    <xf numFmtId="0" fontId="11" fillId="3" borderId="33" xfId="0" applyFont="1" applyFill="1" applyBorder="1"/>
    <xf numFmtId="0" fontId="10" fillId="3" borderId="6" xfId="0" applyFont="1" applyFill="1" applyBorder="1"/>
    <xf numFmtId="0" fontId="10" fillId="3" borderId="33" xfId="0" applyFont="1" applyFill="1" applyBorder="1"/>
    <xf numFmtId="0" fontId="10" fillId="3" borderId="33" xfId="1" applyFont="1" applyFill="1" applyBorder="1"/>
    <xf numFmtId="0" fontId="10" fillId="3" borderId="21" xfId="0" applyFont="1" applyFill="1" applyBorder="1"/>
    <xf numFmtId="0" fontId="11" fillId="3" borderId="6" xfId="0" applyFont="1" applyFill="1" applyBorder="1"/>
    <xf numFmtId="0" fontId="11" fillId="3" borderId="8" xfId="0" applyFont="1" applyFill="1" applyBorder="1"/>
    <xf numFmtId="0" fontId="11" fillId="3" borderId="7" xfId="0" applyFont="1" applyFill="1" applyBorder="1"/>
    <xf numFmtId="0" fontId="11" fillId="3" borderId="21" xfId="0" applyFont="1" applyFill="1" applyBorder="1"/>
    <xf numFmtId="1" fontId="0" fillId="0" borderId="6" xfId="0" applyNumberFormat="1" applyBorder="1"/>
    <xf numFmtId="1" fontId="0" fillId="0" borderId="11" xfId="0" applyNumberFormat="1" applyBorder="1"/>
    <xf numFmtId="1" fontId="0" fillId="0" borderId="21" xfId="0" applyNumberFormat="1" applyBorder="1"/>
    <xf numFmtId="1" fontId="0" fillId="0" borderId="22" xfId="0" applyNumberFormat="1" applyBorder="1"/>
    <xf numFmtId="1" fontId="0" fillId="0" borderId="23" xfId="0" applyNumberFormat="1" applyBorder="1"/>
    <xf numFmtId="2" fontId="0" fillId="0" borderId="6" xfId="0" applyNumberFormat="1" applyBorder="1"/>
    <xf numFmtId="2" fontId="0" fillId="0" borderId="0" xfId="0" applyNumberFormat="1" applyBorder="1"/>
    <xf numFmtId="2" fontId="0" fillId="0" borderId="11" xfId="0" applyNumberFormat="1" applyBorder="1"/>
    <xf numFmtId="2" fontId="0" fillId="0" borderId="21" xfId="0" applyNumberFormat="1" applyBorder="1"/>
    <xf numFmtId="2" fontId="0" fillId="0" borderId="22" xfId="0" applyNumberFormat="1" applyBorder="1"/>
    <xf numFmtId="2" fontId="0" fillId="0" borderId="23" xfId="0" applyNumberFormat="1" applyBorder="1"/>
    <xf numFmtId="2" fontId="25" fillId="0" borderId="22" xfId="5" applyNumberFormat="1" applyBorder="1"/>
    <xf numFmtId="2" fontId="25" fillId="0" borderId="23" xfId="5" applyNumberFormat="1" applyBorder="1"/>
    <xf numFmtId="2" fontId="25" fillId="0" borderId="8" xfId="5" applyNumberFormat="1" applyBorder="1"/>
    <xf numFmtId="2" fontId="25" fillId="0" borderId="6" xfId="5" applyNumberFormat="1" applyBorder="1"/>
    <xf numFmtId="2" fontId="25" fillId="0" borderId="21" xfId="5" applyNumberFormat="1" applyBorder="1"/>
    <xf numFmtId="0" fontId="38" fillId="13" borderId="21" xfId="1" applyFont="1" applyFill="1" applyBorder="1"/>
    <xf numFmtId="0" fontId="38" fillId="13" borderId="22" xfId="1" applyFont="1" applyFill="1" applyBorder="1"/>
    <xf numFmtId="0" fontId="25" fillId="13" borderId="22" xfId="5" applyFill="1" applyBorder="1"/>
    <xf numFmtId="0" fontId="0" fillId="13" borderId="23" xfId="0" applyFill="1" applyBorder="1"/>
    <xf numFmtId="0" fontId="39" fillId="13" borderId="22" xfId="0" applyFont="1" applyFill="1" applyBorder="1"/>
    <xf numFmtId="0" fontId="39" fillId="13" borderId="22" xfId="0" applyFont="1" applyFill="1" applyBorder="1" applyAlignment="1">
      <alignment horizontal="center"/>
    </xf>
    <xf numFmtId="9" fontId="39" fillId="13" borderId="22" xfId="3" applyFont="1" applyFill="1" applyBorder="1" applyAlignment="1">
      <alignment horizontal="center"/>
    </xf>
    <xf numFmtId="0" fontId="37" fillId="13" borderId="22" xfId="0" applyFont="1" applyFill="1" applyBorder="1" applyAlignment="1">
      <alignment horizontal="center"/>
    </xf>
    <xf numFmtId="0" fontId="39" fillId="13" borderId="23" xfId="0" applyFont="1" applyFill="1" applyBorder="1"/>
    <xf numFmtId="0" fontId="25" fillId="0" borderId="0" xfId="5" quotePrefix="1"/>
    <xf numFmtId="0" fontId="25" fillId="0" borderId="0" xfId="5"/>
    <xf numFmtId="0" fontId="7" fillId="3" borderId="8" xfId="0" applyFont="1" applyFill="1" applyBorder="1"/>
    <xf numFmtId="0" fontId="11" fillId="3" borderId="40" xfId="0" applyFont="1" applyFill="1" applyBorder="1"/>
    <xf numFmtId="10" fontId="0" fillId="2" borderId="14" xfId="3" applyNumberFormat="1" applyFont="1" applyFill="1" applyBorder="1"/>
    <xf numFmtId="10" fontId="0" fillId="2" borderId="15" xfId="3" applyNumberFormat="1" applyFont="1" applyFill="1" applyBorder="1"/>
    <xf numFmtId="164" fontId="0" fillId="0" borderId="0" xfId="4" applyFont="1" applyFill="1" applyBorder="1"/>
    <xf numFmtId="9" fontId="25" fillId="0" borderId="15" xfId="3" applyFont="1" applyBorder="1"/>
    <xf numFmtId="0" fontId="25" fillId="0" borderId="16" xfId="5" applyBorder="1"/>
    <xf numFmtId="9" fontId="0" fillId="0" borderId="14" xfId="0" applyNumberFormat="1" applyFont="1" applyFill="1" applyBorder="1" applyAlignment="1">
      <alignment horizontal="center"/>
    </xf>
    <xf numFmtId="169" fontId="0" fillId="0" borderId="0" xfId="0" applyNumberFormat="1"/>
    <xf numFmtId="0" fontId="13" fillId="3" borderId="6" xfId="0" applyFont="1" applyFill="1" applyBorder="1"/>
    <xf numFmtId="0" fontId="13" fillId="3" borderId="7" xfId="0" applyFont="1" applyFill="1" applyBorder="1"/>
    <xf numFmtId="0" fontId="33" fillId="7" borderId="9" xfId="0" applyFont="1" applyFill="1" applyBorder="1" applyAlignment="1">
      <alignment horizontal="center" vertical="center"/>
    </xf>
    <xf numFmtId="0" fontId="25" fillId="0" borderId="0" xfId="5"/>
    <xf numFmtId="0" fontId="25" fillId="0" borderId="0" xfId="5"/>
    <xf numFmtId="9" fontId="32" fillId="7" borderId="7" xfId="3" applyFont="1" applyFill="1" applyBorder="1" applyAlignment="1">
      <alignment horizontal="center"/>
    </xf>
    <xf numFmtId="1" fontId="25" fillId="0" borderId="0" xfId="5" applyNumberFormat="1"/>
    <xf numFmtId="0" fontId="14" fillId="3" borderId="6" xfId="0" applyFont="1" applyFill="1" applyBorder="1"/>
    <xf numFmtId="0" fontId="14" fillId="3" borderId="7" xfId="0" applyFont="1" applyFill="1" applyBorder="1"/>
    <xf numFmtId="9" fontId="32" fillId="7" borderId="6" xfId="3" applyFont="1" applyFill="1" applyBorder="1" applyAlignment="1">
      <alignment horizontal="center"/>
    </xf>
    <xf numFmtId="9" fontId="32" fillId="7" borderId="11" xfId="3" applyFont="1" applyFill="1" applyBorder="1" applyAlignment="1">
      <alignment horizontal="center"/>
    </xf>
    <xf numFmtId="0" fontId="0" fillId="0" borderId="20" xfId="0" applyBorder="1"/>
    <xf numFmtId="0" fontId="18" fillId="0" borderId="34" xfId="0" applyFont="1" applyBorder="1"/>
    <xf numFmtId="1" fontId="4" fillId="0" borderId="6" xfId="5" applyNumberFormat="1" applyFont="1" applyBorder="1"/>
    <xf numFmtId="1" fontId="4" fillId="0" borderId="11" xfId="5" applyNumberFormat="1" applyFont="1" applyBorder="1"/>
    <xf numFmtId="1" fontId="4" fillId="0" borderId="7" xfId="5" applyNumberFormat="1" applyFont="1" applyBorder="1"/>
    <xf numFmtId="1" fontId="4" fillId="0" borderId="13" xfId="5" applyNumberFormat="1" applyFont="1" applyBorder="1"/>
    <xf numFmtId="1" fontId="2" fillId="0" borderId="33" xfId="0" applyNumberFormat="1" applyFont="1" applyBorder="1"/>
    <xf numFmtId="0" fontId="2" fillId="0" borderId="10" xfId="0" applyFont="1" applyBorder="1"/>
    <xf numFmtId="1" fontId="2" fillId="0" borderId="34" xfId="0" applyNumberFormat="1" applyFont="1" applyBorder="1"/>
    <xf numFmtId="1" fontId="3" fillId="0" borderId="8" xfId="5" applyNumberFormat="1" applyFont="1" applyBorder="1"/>
    <xf numFmtId="1" fontId="2" fillId="0" borderId="10" xfId="0" applyNumberFormat="1" applyFont="1" applyBorder="1"/>
    <xf numFmtId="1" fontId="2" fillId="0" borderId="6" xfId="0" applyNumberFormat="1" applyFont="1" applyBorder="1"/>
    <xf numFmtId="1" fontId="2" fillId="0" borderId="11" xfId="0" applyNumberFormat="1" applyFont="1" applyBorder="1"/>
    <xf numFmtId="168" fontId="0" fillId="0" borderId="19" xfId="0" applyNumberFormat="1" applyBorder="1"/>
    <xf numFmtId="168" fontId="18" fillId="0" borderId="34" xfId="0" applyNumberFormat="1" applyFont="1" applyBorder="1"/>
    <xf numFmtId="168" fontId="4" fillId="0" borderId="11" xfId="5" applyNumberFormat="1" applyFont="1" applyBorder="1"/>
    <xf numFmtId="168" fontId="2" fillId="0" borderId="33" xfId="0" applyNumberFormat="1" applyFont="1" applyBorder="1"/>
    <xf numFmtId="168" fontId="4" fillId="0" borderId="6" xfId="5" applyNumberFormat="1" applyFont="1" applyBorder="1"/>
    <xf numFmtId="0" fontId="25" fillId="0" borderId="0" xfId="5"/>
    <xf numFmtId="0" fontId="0" fillId="0" borderId="9" xfId="0" applyBorder="1"/>
    <xf numFmtId="0" fontId="0" fillId="0" borderId="10" xfId="0" applyBorder="1"/>
    <xf numFmtId="0" fontId="0" fillId="0" borderId="12" xfId="0" applyBorder="1"/>
    <xf numFmtId="1" fontId="0" fillId="0" borderId="13" xfId="0" applyNumberFormat="1" applyBorder="1"/>
    <xf numFmtId="0" fontId="14" fillId="3" borderId="19" xfId="0" applyFont="1" applyFill="1" applyBorder="1"/>
    <xf numFmtId="0" fontId="0" fillId="0" borderId="4" xfId="0" applyBorder="1"/>
    <xf numFmtId="0" fontId="0" fillId="0" borderId="22" xfId="0" applyBorder="1"/>
    <xf numFmtId="0" fontId="0" fillId="0" borderId="23" xfId="0" applyBorder="1"/>
    <xf numFmtId="0" fontId="0" fillId="0" borderId="21" xfId="0" applyBorder="1"/>
    <xf numFmtId="0" fontId="0" fillId="0" borderId="8" xfId="0" applyBorder="1"/>
    <xf numFmtId="0" fontId="0" fillId="0" borderId="7" xfId="0" applyBorder="1"/>
    <xf numFmtId="0" fontId="2" fillId="0" borderId="28" xfId="0" applyFont="1" applyBorder="1"/>
    <xf numFmtId="0" fontId="2" fillId="0" borderId="22" xfId="0" applyFont="1" applyBorder="1"/>
    <xf numFmtId="0" fontId="2" fillId="0" borderId="23" xfId="0" applyFont="1" applyBorder="1"/>
    <xf numFmtId="170" fontId="0" fillId="0" borderId="0" xfId="4" applyNumberFormat="1" applyFont="1" applyBorder="1"/>
    <xf numFmtId="170" fontId="0" fillId="0" borderId="11" xfId="4" applyNumberFormat="1" applyFont="1" applyBorder="1"/>
    <xf numFmtId="170" fontId="0" fillId="0" borderId="12" xfId="4" applyNumberFormat="1" applyFont="1" applyBorder="1"/>
    <xf numFmtId="170" fontId="0" fillId="0" borderId="13" xfId="4" applyNumberFormat="1" applyFont="1" applyBorder="1"/>
    <xf numFmtId="170" fontId="0" fillId="0" borderId="0" xfId="0" applyNumberFormat="1" applyBorder="1"/>
    <xf numFmtId="170" fontId="0" fillId="0" borderId="11" xfId="0" applyNumberFormat="1" applyBorder="1"/>
    <xf numFmtId="0" fontId="25" fillId="0" borderId="0" xfId="0" applyFont="1"/>
    <xf numFmtId="0" fontId="25" fillId="0" borderId="0" xfId="5" applyFill="1"/>
    <xf numFmtId="2" fontId="0" fillId="0" borderId="0" xfId="0" applyNumberFormat="1"/>
    <xf numFmtId="0" fontId="25" fillId="0" borderId="0" xfId="5"/>
    <xf numFmtId="170" fontId="0" fillId="0" borderId="0" xfId="4" applyNumberFormat="1" applyFont="1" applyFill="1" applyBorder="1"/>
    <xf numFmtId="170" fontId="0" fillId="0" borderId="11" xfId="4" applyNumberFormat="1" applyFont="1" applyFill="1" applyBorder="1"/>
    <xf numFmtId="170" fontId="0" fillId="0" borderId="0" xfId="0" applyNumberFormat="1" applyFill="1" applyBorder="1"/>
    <xf numFmtId="9" fontId="25" fillId="0" borderId="22" xfId="3" applyFont="1" applyFill="1" applyBorder="1"/>
    <xf numFmtId="9" fontId="0" fillId="0" borderId="21" xfId="3" applyFont="1" applyBorder="1"/>
    <xf numFmtId="9" fontId="0" fillId="0" borderId="22" xfId="3" applyFont="1" applyBorder="1"/>
    <xf numFmtId="9" fontId="0" fillId="0" borderId="23" xfId="3" applyFont="1" applyBorder="1"/>
    <xf numFmtId="9" fontId="25" fillId="0" borderId="8" xfId="3" applyFont="1" applyFill="1" applyBorder="1"/>
    <xf numFmtId="9" fontId="25" fillId="0" borderId="9" xfId="3" applyFont="1" applyFill="1" applyBorder="1"/>
    <xf numFmtId="9" fontId="25" fillId="0" borderId="10" xfId="3" applyFont="1" applyFill="1" applyBorder="1"/>
    <xf numFmtId="9" fontId="25" fillId="0" borderId="6" xfId="3" applyFont="1" applyFill="1" applyBorder="1"/>
    <xf numFmtId="9" fontId="25" fillId="0" borderId="0" xfId="3" applyFont="1" applyFill="1" applyBorder="1"/>
    <xf numFmtId="9" fontId="25" fillId="0" borderId="11" xfId="3" applyFont="1" applyFill="1" applyBorder="1"/>
    <xf numFmtId="9" fontId="25" fillId="0" borderId="21" xfId="3" applyFont="1" applyFill="1" applyBorder="1"/>
    <xf numFmtId="9" fontId="25" fillId="0" borderId="23" xfId="3" applyFont="1" applyFill="1" applyBorder="1"/>
    <xf numFmtId="9" fontId="0" fillId="0" borderId="14" xfId="0" applyNumberFormat="1" applyFill="1" applyBorder="1" applyAlignment="1">
      <alignment horizontal="center"/>
    </xf>
    <xf numFmtId="9" fontId="0" fillId="0" borderId="15" xfId="0" applyNumberFormat="1" applyFill="1" applyBorder="1" applyAlignment="1">
      <alignment horizontal="center"/>
    </xf>
    <xf numFmtId="9" fontId="0" fillId="0" borderId="41" xfId="0" applyNumberFormat="1" applyFill="1" applyBorder="1" applyAlignment="1">
      <alignment horizontal="center"/>
    </xf>
    <xf numFmtId="9" fontId="21" fillId="2" borderId="14" xfId="2" applyNumberFormat="1" applyFill="1" applyBorder="1" applyAlignment="1">
      <alignment horizontal="center" vertical="center"/>
    </xf>
    <xf numFmtId="9" fontId="21" fillId="2" borderId="16" xfId="2" applyNumberFormat="1" applyFill="1" applyBorder="1" applyAlignment="1">
      <alignment horizontal="center" vertical="center"/>
    </xf>
    <xf numFmtId="0" fontId="25" fillId="0" borderId="0" xfId="5"/>
    <xf numFmtId="0" fontId="0" fillId="0" borderId="44" xfId="0" applyBorder="1"/>
    <xf numFmtId="0" fontId="0" fillId="0" borderId="45" xfId="0" applyBorder="1"/>
    <xf numFmtId="1" fontId="3" fillId="0" borderId="9" xfId="5" applyNumberFormat="1" applyFont="1" applyBorder="1"/>
    <xf numFmtId="1" fontId="4" fillId="0" borderId="0" xfId="5" applyNumberFormat="1" applyFont="1" applyBorder="1"/>
    <xf numFmtId="168" fontId="2" fillId="0" borderId="31" xfId="0" applyNumberFormat="1" applyFont="1" applyBorder="1"/>
    <xf numFmtId="168" fontId="4" fillId="0" borderId="0" xfId="5" applyNumberFormat="1" applyFont="1" applyBorder="1"/>
    <xf numFmtId="168" fontId="0" fillId="0" borderId="4" xfId="0" applyNumberFormat="1" applyBorder="1"/>
    <xf numFmtId="1" fontId="4" fillId="0" borderId="12" xfId="5" applyNumberFormat="1" applyFont="1" applyBorder="1"/>
    <xf numFmtId="0" fontId="11" fillId="3" borderId="41" xfId="0" applyFont="1" applyFill="1" applyBorder="1"/>
    <xf numFmtId="0" fontId="14" fillId="3" borderId="16" xfId="0" applyFont="1" applyFill="1" applyBorder="1"/>
    <xf numFmtId="1" fontId="2" fillId="0" borderId="31" xfId="0" applyNumberFormat="1" applyFont="1" applyBorder="1"/>
    <xf numFmtId="0" fontId="0" fillId="0" borderId="43" xfId="0" applyBorder="1"/>
    <xf numFmtId="10" fontId="0" fillId="0" borderId="45" xfId="3" applyNumberFormat="1" applyFont="1" applyBorder="1"/>
    <xf numFmtId="170" fontId="25" fillId="0" borderId="0" xfId="4" applyNumberFormat="1" applyFont="1" applyBorder="1"/>
    <xf numFmtId="170" fontId="25" fillId="0" borderId="11" xfId="4" applyNumberFormat="1" applyFont="1" applyBorder="1"/>
    <xf numFmtId="170" fontId="25" fillId="0" borderId="4" xfId="4" applyNumberFormat="1" applyFont="1" applyBorder="1"/>
    <xf numFmtId="170" fontId="25" fillId="0" borderId="20" xfId="4" applyNumberFormat="1" applyFont="1" applyBorder="1"/>
    <xf numFmtId="0" fontId="0" fillId="0" borderId="31" xfId="0" applyBorder="1"/>
    <xf numFmtId="0" fontId="25" fillId="0" borderId="31" xfId="5" applyBorder="1"/>
    <xf numFmtId="0" fontId="25" fillId="0" borderId="0" xfId="5" applyFill="1" applyBorder="1"/>
    <xf numFmtId="170" fontId="0" fillId="0" borderId="4" xfId="0" applyNumberFormat="1" applyBorder="1"/>
    <xf numFmtId="170" fontId="0" fillId="0" borderId="31" xfId="0" applyNumberFormat="1" applyBorder="1"/>
    <xf numFmtId="0" fontId="25" fillId="0" borderId="0" xfId="5"/>
    <xf numFmtId="170" fontId="0" fillId="0" borderId="0" xfId="0" applyNumberFormat="1"/>
    <xf numFmtId="170" fontId="0" fillId="0" borderId="4" xfId="4" applyNumberFormat="1" applyFont="1" applyFill="1" applyBorder="1"/>
    <xf numFmtId="10" fontId="0" fillId="0" borderId="43" xfId="3" applyNumberFormat="1" applyFont="1" applyBorder="1"/>
    <xf numFmtId="170" fontId="25" fillId="0" borderId="0" xfId="5" applyNumberFormat="1" applyFill="1"/>
    <xf numFmtId="170" fontId="25" fillId="0" borderId="0" xfId="4" applyNumberFormat="1" applyFont="1" applyFill="1" applyBorder="1"/>
    <xf numFmtId="170" fontId="25" fillId="0" borderId="11" xfId="4" applyNumberFormat="1" applyFont="1" applyFill="1" applyBorder="1"/>
    <xf numFmtId="0" fontId="33" fillId="7" borderId="9" xfId="0" applyFont="1" applyFill="1" applyBorder="1" applyAlignment="1">
      <alignment horizontal="center" vertical="center"/>
    </xf>
    <xf numFmtId="0" fontId="25" fillId="0" borderId="0" xfId="5"/>
    <xf numFmtId="0" fontId="33" fillId="7" borderId="9" xfId="0" applyFont="1" applyFill="1" applyBorder="1" applyAlignment="1">
      <alignment horizontal="center" vertical="center" wrapText="1"/>
    </xf>
    <xf numFmtId="0" fontId="0" fillId="0" borderId="0" xfId="0" applyFill="1" applyAlignment="1">
      <alignment horizontal="left" vertical="center"/>
    </xf>
    <xf numFmtId="0" fontId="14" fillId="8" borderId="6" xfId="0" applyFont="1" applyFill="1" applyBorder="1" applyAlignment="1">
      <alignment horizontal="left" vertical="center"/>
    </xf>
    <xf numFmtId="0" fontId="11" fillId="8" borderId="33" xfId="0" applyFont="1" applyFill="1" applyBorder="1" applyAlignment="1">
      <alignment horizontal="left" vertical="center"/>
    </xf>
    <xf numFmtId="0" fontId="10" fillId="8" borderId="6" xfId="0" applyFont="1" applyFill="1" applyBorder="1" applyAlignment="1">
      <alignment horizontal="left" vertical="center"/>
    </xf>
    <xf numFmtId="0" fontId="14" fillId="8" borderId="19" xfId="0" applyFont="1" applyFill="1" applyBorder="1" applyAlignment="1">
      <alignment horizontal="left" vertical="center"/>
    </xf>
    <xf numFmtId="0" fontId="10" fillId="8" borderId="6" xfId="1" applyFont="1" applyFill="1" applyBorder="1" applyAlignment="1">
      <alignment horizontal="left" vertical="center"/>
    </xf>
    <xf numFmtId="0" fontId="10" fillId="8" borderId="19" xfId="0" applyFont="1" applyFill="1" applyBorder="1" applyAlignment="1">
      <alignment horizontal="left" vertical="center"/>
    </xf>
    <xf numFmtId="9" fontId="0" fillId="0" borderId="0" xfId="3" applyFont="1" applyFill="1" applyBorder="1" applyAlignment="1">
      <alignment horizontal="left" vertical="center"/>
    </xf>
    <xf numFmtId="0" fontId="7" fillId="0" borderId="0" xfId="0" applyFont="1" applyFill="1" applyBorder="1" applyAlignment="1">
      <alignment horizontal="left" vertical="center"/>
    </xf>
    <xf numFmtId="166" fontId="4" fillId="0" borderId="0" xfId="0" applyNumberFormat="1" applyFont="1" applyFill="1" applyBorder="1" applyAlignment="1">
      <alignment horizontal="left" vertical="center"/>
    </xf>
    <xf numFmtId="0" fontId="25" fillId="0" borderId="0" xfId="5" applyAlignment="1">
      <alignment horizontal="left" vertical="center"/>
    </xf>
    <xf numFmtId="0" fontId="23"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10" fillId="0" borderId="0" xfId="0" applyFont="1" applyFill="1" applyBorder="1" applyAlignment="1">
      <alignment horizontal="left" vertical="center"/>
    </xf>
    <xf numFmtId="0" fontId="14" fillId="0" borderId="0" xfId="0" applyFont="1" applyFill="1" applyBorder="1" applyAlignment="1">
      <alignment horizontal="left" vertical="center"/>
    </xf>
    <xf numFmtId="0" fontId="0" fillId="0" borderId="0" xfId="0" applyFill="1" applyAlignment="1">
      <alignment horizontal="center" vertical="center"/>
    </xf>
    <xf numFmtId="9" fontId="0" fillId="0" borderId="0" xfId="3" applyFont="1" applyFill="1" applyAlignment="1">
      <alignment horizontal="center" vertical="center"/>
    </xf>
    <xf numFmtId="0" fontId="32" fillId="7" borderId="12" xfId="0" applyFont="1" applyFill="1" applyBorder="1" applyAlignment="1">
      <alignment horizontal="center" vertical="center"/>
    </xf>
    <xf numFmtId="9" fontId="32" fillId="7" borderId="12" xfId="3" applyFont="1" applyFill="1" applyBorder="1" applyAlignment="1">
      <alignment horizontal="center" vertical="center"/>
    </xf>
    <xf numFmtId="0" fontId="32" fillId="7" borderId="7" xfId="0" applyFont="1" applyFill="1" applyBorder="1" applyAlignment="1">
      <alignment horizontal="center" vertical="center"/>
    </xf>
    <xf numFmtId="9" fontId="2" fillId="0" borderId="0" xfId="3" applyFont="1" applyFill="1" applyBorder="1" applyAlignment="1">
      <alignment horizontal="center" vertical="center"/>
    </xf>
    <xf numFmtId="2" fontId="2" fillId="0" borderId="0" xfId="0" applyNumberFormat="1" applyFont="1" applyFill="1" applyBorder="1" applyAlignment="1">
      <alignment horizontal="center" vertical="center"/>
    </xf>
    <xf numFmtId="165" fontId="2" fillId="0" borderId="11" xfId="3" applyNumberFormat="1" applyFont="1" applyFill="1" applyBorder="1" applyAlignment="1">
      <alignment horizontal="center" vertical="center"/>
    </xf>
    <xf numFmtId="0" fontId="2" fillId="0" borderId="0" xfId="0" applyFont="1" applyFill="1" applyBorder="1" applyAlignment="1">
      <alignment horizontal="center" vertical="center"/>
    </xf>
    <xf numFmtId="9" fontId="2" fillId="0" borderId="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9" fontId="0" fillId="0" borderId="6" xfId="0"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9" fontId="2" fillId="8" borderId="11" xfId="0" applyNumberFormat="1" applyFont="1" applyFill="1" applyBorder="1" applyAlignment="1">
      <alignment horizontal="center" vertical="center"/>
    </xf>
    <xf numFmtId="168" fontId="0" fillId="0" borderId="6" xfId="0" applyNumberFormat="1" applyFont="1" applyFill="1" applyBorder="1" applyAlignment="1">
      <alignment horizontal="center" vertical="center"/>
    </xf>
    <xf numFmtId="168" fontId="0" fillId="0" borderId="0" xfId="0" applyNumberFormat="1" applyFont="1" applyFill="1" applyBorder="1" applyAlignment="1">
      <alignment horizontal="center" vertical="center"/>
    </xf>
    <xf numFmtId="9" fontId="0" fillId="0" borderId="0" xfId="3" applyFont="1" applyFill="1" applyBorder="1" applyAlignment="1">
      <alignment horizontal="center" vertical="center"/>
    </xf>
    <xf numFmtId="2" fontId="4"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65" fontId="4" fillId="0" borderId="11" xfId="3" applyNumberFormat="1" applyFont="1" applyFill="1" applyBorder="1" applyAlignment="1">
      <alignment horizontal="center" vertical="center"/>
    </xf>
    <xf numFmtId="165" fontId="0" fillId="0" borderId="11" xfId="0" applyNumberFormat="1" applyFill="1" applyBorder="1" applyAlignment="1">
      <alignment horizontal="center" vertical="center"/>
    </xf>
    <xf numFmtId="165" fontId="0" fillId="0" borderId="11" xfId="3" applyNumberFormat="1" applyFont="1" applyFill="1" applyBorder="1" applyAlignment="1">
      <alignment horizontal="center" vertical="center"/>
    </xf>
    <xf numFmtId="9" fontId="0" fillId="8"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2" fontId="12" fillId="2" borderId="14"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65" fontId="12" fillId="0" borderId="11" xfId="3"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165" fontId="12" fillId="0" borderId="11" xfId="0" applyNumberFormat="1" applyFont="1" applyFill="1" applyBorder="1" applyAlignment="1">
      <alignment horizontal="center" vertical="center"/>
    </xf>
    <xf numFmtId="9" fontId="21" fillId="2" borderId="15" xfId="2" applyNumberFormat="1" applyFill="1" applyBorder="1" applyAlignment="1">
      <alignment horizontal="center" vertical="center"/>
    </xf>
    <xf numFmtId="2" fontId="12" fillId="2" borderId="15" xfId="0" applyNumberFormat="1" applyFont="1" applyFill="1" applyBorder="1" applyAlignment="1">
      <alignment horizontal="center" vertical="center"/>
    </xf>
    <xf numFmtId="9" fontId="12" fillId="0" borderId="6" xfId="0" applyNumberFormat="1" applyFont="1" applyFill="1" applyBorder="1" applyAlignment="1">
      <alignment horizontal="center" vertical="center"/>
    </xf>
    <xf numFmtId="2" fontId="12" fillId="2" borderId="16" xfId="0" applyNumberFormat="1" applyFont="1" applyFill="1" applyBorder="1" applyAlignment="1">
      <alignment horizontal="center" vertical="center"/>
    </xf>
    <xf numFmtId="2" fontId="4" fillId="2" borderId="16" xfId="0" applyNumberFormat="1" applyFont="1" applyFill="1" applyBorder="1" applyAlignment="1">
      <alignment horizontal="center" vertical="center"/>
    </xf>
    <xf numFmtId="9" fontId="4" fillId="0" borderId="6"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2" fontId="4" fillId="0" borderId="4" xfId="0" applyNumberFormat="1" applyFont="1" applyFill="1" applyBorder="1" applyAlignment="1">
      <alignment horizontal="center" vertical="center"/>
    </xf>
    <xf numFmtId="0" fontId="0" fillId="0" borderId="4" xfId="0" applyFill="1" applyBorder="1" applyAlignment="1">
      <alignment horizontal="center" vertical="center"/>
    </xf>
    <xf numFmtId="1" fontId="4" fillId="0" borderId="4" xfId="0" applyNumberFormat="1" applyFont="1" applyFill="1" applyBorder="1" applyAlignment="1">
      <alignment horizontal="center" vertical="center"/>
    </xf>
    <xf numFmtId="165" fontId="4" fillId="0" borderId="20" xfId="3"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xf>
    <xf numFmtId="1" fontId="0" fillId="0" borderId="4" xfId="0" applyNumberFormat="1" applyFont="1" applyFill="1" applyBorder="1" applyAlignment="1">
      <alignment horizontal="center" vertical="center"/>
    </xf>
    <xf numFmtId="165" fontId="0" fillId="0" borderId="20" xfId="0" applyNumberFormat="1" applyFill="1" applyBorder="1" applyAlignment="1">
      <alignment horizontal="center" vertical="center"/>
    </xf>
    <xf numFmtId="9" fontId="0" fillId="8" borderId="11" xfId="0" applyNumberFormat="1" applyFont="1" applyFill="1" applyBorder="1" applyAlignment="1">
      <alignment horizontal="center" vertical="center"/>
    </xf>
    <xf numFmtId="165" fontId="2" fillId="0" borderId="31" xfId="3" applyNumberFormat="1" applyFont="1" applyFill="1" applyBorder="1" applyAlignment="1">
      <alignment horizontal="center" vertical="center"/>
    </xf>
    <xf numFmtId="165" fontId="2" fillId="0" borderId="34"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33" xfId="0" applyNumberFormat="1" applyFont="1" applyFill="1" applyBorder="1" applyAlignment="1">
      <alignment horizontal="center" vertical="center"/>
    </xf>
    <xf numFmtId="165" fontId="18" fillId="0" borderId="11" xfId="3" applyNumberFormat="1" applyFont="1" applyFill="1" applyBorder="1" applyAlignment="1">
      <alignment horizontal="center" vertical="center"/>
    </xf>
    <xf numFmtId="1" fontId="12" fillId="2" borderId="14" xfId="0" applyNumberFormat="1" applyFont="1" applyFill="1" applyBorder="1" applyAlignment="1">
      <alignment horizontal="center" vertical="center"/>
    </xf>
    <xf numFmtId="9" fontId="12" fillId="2" borderId="14" xfId="0" applyNumberFormat="1" applyFont="1" applyFill="1" applyBorder="1" applyAlignment="1">
      <alignment horizontal="center" vertical="center"/>
    </xf>
    <xf numFmtId="168" fontId="12" fillId="0" borderId="0" xfId="0" applyNumberFormat="1" applyFont="1" applyFill="1" applyBorder="1" applyAlignment="1">
      <alignment horizontal="center" vertical="center"/>
    </xf>
    <xf numFmtId="1" fontId="12" fillId="2" borderId="15" xfId="0" applyNumberFormat="1" applyFont="1" applyFill="1" applyBorder="1" applyAlignment="1">
      <alignment horizontal="center" vertical="center"/>
    </xf>
    <xf numFmtId="1" fontId="4" fillId="2" borderId="16" xfId="0" applyNumberFormat="1" applyFont="1" applyFill="1" applyBorder="1" applyAlignment="1">
      <alignment horizontal="center" vertical="center"/>
    </xf>
    <xf numFmtId="9" fontId="4" fillId="2" borderId="16" xfId="3" applyFont="1" applyFill="1" applyBorder="1" applyAlignment="1">
      <alignment horizontal="center" vertical="center"/>
    </xf>
    <xf numFmtId="9" fontId="0" fillId="0" borderId="4" xfId="0" applyNumberFormat="1" applyFill="1" applyBorder="1" applyAlignment="1">
      <alignment horizontal="center" vertical="center"/>
    </xf>
    <xf numFmtId="9" fontId="0" fillId="0" borderId="0" xfId="0" applyNumberFormat="1" applyFill="1" applyBorder="1" applyAlignment="1">
      <alignment horizontal="center" vertical="center"/>
    </xf>
    <xf numFmtId="2" fontId="0" fillId="0" borderId="4" xfId="0" applyNumberFormat="1" applyFill="1" applyBorder="1" applyAlignment="1">
      <alignment horizontal="center" vertical="center"/>
    </xf>
    <xf numFmtId="2" fontId="2" fillId="0" borderId="31" xfId="0" applyNumberFormat="1" applyFont="1" applyFill="1" applyBorder="1" applyAlignment="1">
      <alignment horizontal="center" vertical="center"/>
    </xf>
    <xf numFmtId="2" fontId="12" fillId="0" borderId="4" xfId="0" applyNumberFormat="1" applyFont="1" applyFill="1" applyBorder="1" applyAlignment="1">
      <alignment horizontal="center" vertical="center"/>
    </xf>
    <xf numFmtId="165" fontId="12" fillId="0" borderId="20" xfId="3" applyNumberFormat="1" applyFont="1" applyFill="1" applyBorder="1" applyAlignment="1">
      <alignment horizontal="center" vertical="center"/>
    </xf>
    <xf numFmtId="9" fontId="0" fillId="0" borderId="6" xfId="0" applyNumberFormat="1" applyFill="1" applyBorder="1" applyAlignment="1">
      <alignment horizontal="center" vertical="center"/>
    </xf>
    <xf numFmtId="2" fontId="0" fillId="0" borderId="0" xfId="0" applyNumberFormat="1" applyFill="1" applyBorder="1" applyAlignment="1">
      <alignment horizontal="center" vertical="center"/>
    </xf>
    <xf numFmtId="9" fontId="0" fillId="0" borderId="19" xfId="0" applyNumberFormat="1" applyFill="1" applyBorder="1" applyAlignment="1">
      <alignment horizontal="center" vertical="center"/>
    </xf>
    <xf numFmtId="165" fontId="2" fillId="0" borderId="34" xfId="3" applyNumberFormat="1" applyFont="1" applyFill="1" applyBorder="1" applyAlignment="1">
      <alignment horizontal="center" vertical="center"/>
    </xf>
    <xf numFmtId="0" fontId="12" fillId="0" borderId="0" xfId="0" applyFont="1" applyFill="1" applyBorder="1" applyAlignment="1">
      <alignment horizontal="center" vertical="center"/>
    </xf>
    <xf numFmtId="1" fontId="12" fillId="0" borderId="4"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165" fontId="0" fillId="0" borderId="0" xfId="0" applyNumberFormat="1" applyFill="1" applyBorder="1" applyAlignment="1">
      <alignment horizontal="center" vertical="center"/>
    </xf>
    <xf numFmtId="10" fontId="0" fillId="0" borderId="33" xfId="0" applyNumberFormat="1" applyFill="1" applyBorder="1" applyAlignment="1">
      <alignment horizontal="center" vertical="center"/>
    </xf>
    <xf numFmtId="1" fontId="0" fillId="2" borderId="28" xfId="0" applyNumberFormat="1" applyFont="1" applyFill="1" applyBorder="1" applyAlignment="1">
      <alignment horizontal="center" vertical="center"/>
    </xf>
    <xf numFmtId="9" fontId="4" fillId="2" borderId="28" xfId="0" applyNumberFormat="1" applyFont="1" applyFill="1" applyBorder="1" applyAlignment="1">
      <alignment horizontal="center" vertical="center"/>
    </xf>
    <xf numFmtId="169" fontId="0" fillId="0" borderId="0" xfId="0" applyNumberFormat="1" applyFill="1" applyBorder="1" applyAlignment="1">
      <alignment horizontal="center" vertical="center"/>
    </xf>
    <xf numFmtId="2" fontId="12" fillId="0" borderId="6" xfId="0" applyNumberFormat="1" applyFont="1" applyFill="1" applyBorder="1" applyAlignment="1">
      <alignment horizontal="center" vertical="center"/>
    </xf>
    <xf numFmtId="1" fontId="12" fillId="2" borderId="16" xfId="0" applyNumberFormat="1" applyFont="1" applyFill="1" applyBorder="1" applyAlignment="1">
      <alignment horizontal="center" vertical="center"/>
    </xf>
    <xf numFmtId="9" fontId="12" fillId="2" borderId="16" xfId="0" applyNumberFormat="1" applyFont="1" applyFill="1" applyBorder="1" applyAlignment="1">
      <alignment horizontal="center" vertical="center"/>
    </xf>
    <xf numFmtId="9" fontId="4" fillId="2" borderId="14" xfId="0" applyNumberFormat="1" applyFont="1" applyFill="1" applyBorder="1" applyAlignment="1">
      <alignment horizontal="center" vertical="center"/>
    </xf>
    <xf numFmtId="9" fontId="4" fillId="2" borderId="16" xfId="0" applyNumberFormat="1" applyFont="1" applyFill="1" applyBorder="1" applyAlignment="1">
      <alignment horizontal="center" vertical="center"/>
    </xf>
    <xf numFmtId="1" fontId="2" fillId="0" borderId="22" xfId="0" applyNumberFormat="1" applyFont="1" applyFill="1" applyBorder="1" applyAlignment="1">
      <alignment horizontal="center" vertical="center"/>
    </xf>
    <xf numFmtId="165" fontId="2" fillId="0" borderId="23" xfId="0" applyNumberFormat="1" applyFont="1" applyFill="1" applyBorder="1" applyAlignment="1">
      <alignment horizontal="center" vertical="center"/>
    </xf>
    <xf numFmtId="1" fontId="2" fillId="0" borderId="21" xfId="0" applyNumberFormat="1" applyFont="1" applyFill="1" applyBorder="1" applyAlignment="1">
      <alignment horizontal="center" vertical="center"/>
    </xf>
    <xf numFmtId="168" fontId="0" fillId="2" borderId="14" xfId="0" applyNumberFormat="1" applyFill="1" applyBorder="1" applyAlignment="1">
      <alignment horizontal="center" vertical="center"/>
    </xf>
    <xf numFmtId="168" fontId="12" fillId="0" borderId="6" xfId="0" applyNumberFormat="1" applyFont="1" applyFill="1" applyBorder="1" applyAlignment="1">
      <alignment horizontal="center" vertical="center"/>
    </xf>
    <xf numFmtId="168" fontId="0" fillId="0" borderId="0" xfId="0" applyNumberFormat="1" applyFill="1" applyBorder="1" applyAlignment="1">
      <alignment horizontal="center" vertical="center"/>
    </xf>
    <xf numFmtId="168" fontId="0" fillId="2" borderId="15" xfId="0" applyNumberFormat="1" applyFill="1" applyBorder="1" applyAlignment="1">
      <alignment horizontal="center" vertical="center"/>
    </xf>
    <xf numFmtId="168" fontId="0" fillId="2" borderId="16" xfId="0" applyNumberFormat="1" applyFill="1" applyBorder="1" applyAlignment="1">
      <alignment horizontal="center" vertical="center"/>
    </xf>
    <xf numFmtId="165" fontId="12" fillId="0" borderId="6"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9" fontId="0" fillId="0" borderId="4" xfId="3" applyFont="1" applyFill="1" applyBorder="1" applyAlignment="1">
      <alignment horizontal="center" vertical="center"/>
    </xf>
    <xf numFmtId="168" fontId="12" fillId="0" borderId="4" xfId="0" applyNumberFormat="1" applyFont="1" applyFill="1" applyBorder="1" applyAlignment="1">
      <alignment horizontal="center" vertical="center"/>
    </xf>
    <xf numFmtId="168" fontId="0" fillId="0" borderId="4" xfId="0" applyNumberFormat="1" applyFill="1" applyBorder="1" applyAlignment="1">
      <alignment horizontal="center" vertical="center"/>
    </xf>
    <xf numFmtId="1" fontId="0" fillId="0" borderId="4" xfId="0" applyNumberFormat="1" applyFill="1" applyBorder="1" applyAlignment="1">
      <alignment horizontal="center" vertical="center"/>
    </xf>
    <xf numFmtId="168" fontId="12" fillId="0" borderId="19" xfId="0" applyNumberFormat="1" applyFont="1" applyFill="1" applyBorder="1" applyAlignment="1">
      <alignment horizontal="center" vertical="center"/>
    </xf>
    <xf numFmtId="165" fontId="12" fillId="0" borderId="19" xfId="0" applyNumberFormat="1" applyFont="1" applyFill="1" applyBorder="1" applyAlignment="1">
      <alignment horizontal="center" vertical="center"/>
    </xf>
    <xf numFmtId="165" fontId="12" fillId="0" borderId="4" xfId="0" applyNumberFormat="1" applyFont="1" applyFill="1" applyBorder="1" applyAlignment="1">
      <alignment horizontal="center" vertical="center"/>
    </xf>
    <xf numFmtId="9" fontId="10" fillId="8" borderId="11" xfId="0" applyNumberFormat="1" applyFont="1" applyFill="1" applyBorder="1" applyAlignment="1">
      <alignment horizontal="center" vertical="center"/>
    </xf>
    <xf numFmtId="165" fontId="12" fillId="0" borderId="20" xfId="0" applyNumberFormat="1" applyFont="1" applyFill="1" applyBorder="1" applyAlignment="1">
      <alignment horizontal="center" vertical="center"/>
    </xf>
    <xf numFmtId="9" fontId="11" fillId="8" borderId="35" xfId="0" applyNumberFormat="1" applyFont="1" applyFill="1" applyBorder="1" applyAlignment="1">
      <alignment horizontal="center" vertical="center"/>
    </xf>
    <xf numFmtId="0" fontId="0" fillId="0" borderId="1" xfId="0" applyFill="1" applyBorder="1" applyAlignment="1">
      <alignment horizontal="center" vertical="center"/>
    </xf>
    <xf numFmtId="165" fontId="0" fillId="0" borderId="0" xfId="3" applyNumberFormat="1" applyFont="1" applyFill="1" applyBorder="1" applyAlignment="1">
      <alignment horizontal="center" vertical="center"/>
    </xf>
    <xf numFmtId="9" fontId="0" fillId="2" borderId="14" xfId="0" applyNumberFormat="1" applyFill="1" applyBorder="1" applyAlignment="1">
      <alignment horizontal="center" vertical="center"/>
    </xf>
    <xf numFmtId="165" fontId="0" fillId="0" borderId="6" xfId="0" applyNumberFormat="1" applyFill="1" applyBorder="1" applyAlignment="1">
      <alignment horizontal="center" vertical="center"/>
    </xf>
    <xf numFmtId="9" fontId="0" fillId="2" borderId="16" xfId="0" applyNumberFormat="1" applyFill="1" applyBorder="1" applyAlignment="1">
      <alignment horizontal="center" vertical="center"/>
    </xf>
    <xf numFmtId="1" fontId="2" fillId="2" borderId="28" xfId="0" applyNumberFormat="1" applyFont="1" applyFill="1" applyBorder="1" applyAlignment="1">
      <alignment horizontal="center" vertical="center"/>
    </xf>
    <xf numFmtId="9" fontId="3" fillId="2" borderId="28" xfId="0" applyNumberFormat="1" applyFont="1" applyFill="1" applyBorder="1" applyAlignment="1">
      <alignment horizontal="center" vertical="center"/>
    </xf>
    <xf numFmtId="169" fontId="4" fillId="0" borderId="4" xfId="0" applyNumberFormat="1" applyFont="1" applyFill="1" applyBorder="1" applyAlignment="1">
      <alignment horizontal="center" vertical="center"/>
    </xf>
    <xf numFmtId="9" fontId="21" fillId="2" borderId="14" xfId="3" applyFont="1" applyFill="1" applyBorder="1" applyAlignment="1">
      <alignment horizontal="center" vertical="center"/>
    </xf>
    <xf numFmtId="165" fontId="0" fillId="0" borderId="4" xfId="3" applyNumberFormat="1" applyFont="1" applyFill="1" applyBorder="1" applyAlignment="1">
      <alignment horizontal="center" vertical="center"/>
    </xf>
    <xf numFmtId="165" fontId="0" fillId="0" borderId="19" xfId="0" applyNumberFormat="1" applyFill="1" applyBorder="1" applyAlignment="1">
      <alignment horizontal="center" vertical="center"/>
    </xf>
    <xf numFmtId="165" fontId="0" fillId="0" borderId="4" xfId="0" applyNumberFormat="1" applyFill="1" applyBorder="1" applyAlignment="1">
      <alignment horizontal="center" vertical="center"/>
    </xf>
    <xf numFmtId="9" fontId="4" fillId="0" borderId="19" xfId="0" applyNumberFormat="1" applyFont="1" applyFill="1" applyBorder="1" applyAlignment="1">
      <alignment horizontal="center" vertical="center"/>
    </xf>
    <xf numFmtId="0" fontId="0" fillId="0" borderId="12" xfId="0" applyFill="1" applyBorder="1" applyAlignment="1">
      <alignment horizontal="center" vertical="center"/>
    </xf>
    <xf numFmtId="1" fontId="0" fillId="0" borderId="31" xfId="0" applyNumberFormat="1" applyFont="1" applyFill="1" applyBorder="1" applyAlignment="1">
      <alignment horizontal="center" vertical="center"/>
    </xf>
    <xf numFmtId="169" fontId="4" fillId="0" borderId="31" xfId="0" applyNumberFormat="1" applyFont="1" applyFill="1" applyBorder="1" applyAlignment="1">
      <alignment horizontal="center" vertical="center"/>
    </xf>
    <xf numFmtId="9" fontId="21" fillId="10" borderId="36" xfId="2" applyNumberFormat="1" applyFill="1" applyBorder="1" applyAlignment="1">
      <alignment horizontal="center" vertical="center"/>
    </xf>
    <xf numFmtId="169" fontId="4" fillId="0" borderId="15" xfId="0" applyNumberFormat="1" applyFont="1" applyFill="1" applyBorder="1" applyAlignment="1">
      <alignment horizontal="center" vertical="center"/>
    </xf>
    <xf numFmtId="9" fontId="0" fillId="2" borderId="15" xfId="0" applyNumberFormat="1" applyFill="1" applyBorder="1" applyAlignment="1">
      <alignment horizontal="center" vertical="center"/>
    </xf>
    <xf numFmtId="9" fontId="0" fillId="0" borderId="0" xfId="0" applyNumberFormat="1" applyFill="1" applyAlignment="1">
      <alignment horizontal="center" vertical="center"/>
    </xf>
    <xf numFmtId="0" fontId="0" fillId="0" borderId="15" xfId="0" applyFill="1" applyBorder="1" applyAlignment="1">
      <alignment horizontal="center" vertical="center"/>
    </xf>
    <xf numFmtId="9" fontId="21" fillId="12" borderId="36" xfId="2" applyNumberFormat="1" applyFill="1" applyBorder="1" applyAlignment="1">
      <alignment horizontal="center" vertical="center"/>
    </xf>
    <xf numFmtId="0" fontId="0" fillId="0" borderId="16" xfId="0" applyFill="1" applyBorder="1" applyAlignment="1">
      <alignment horizontal="center" vertical="center"/>
    </xf>
    <xf numFmtId="9" fontId="21" fillId="12" borderId="37" xfId="2" applyNumberFormat="1" applyFill="1" applyBorder="1" applyAlignment="1">
      <alignment horizontal="center" vertical="center"/>
    </xf>
    <xf numFmtId="0" fontId="0" fillId="0" borderId="22" xfId="0" applyFill="1" applyBorder="1" applyAlignment="1">
      <alignment horizontal="center" vertical="center"/>
    </xf>
    <xf numFmtId="0" fontId="0" fillId="0" borderId="21" xfId="0" applyFill="1" applyBorder="1" applyAlignment="1">
      <alignment horizontal="center" vertical="center"/>
    </xf>
    <xf numFmtId="165" fontId="4" fillId="0" borderId="0" xfId="0" applyNumberFormat="1" applyFont="1" applyFill="1" applyBorder="1" applyAlignment="1">
      <alignment horizontal="center" vertical="center"/>
    </xf>
    <xf numFmtId="9" fontId="2" fillId="11" borderId="11" xfId="0" applyNumberFormat="1" applyFont="1" applyFill="1" applyBorder="1" applyAlignment="1">
      <alignment horizontal="center" vertical="center"/>
    </xf>
    <xf numFmtId="9" fontId="0" fillId="11" borderId="0" xfId="0" applyNumberFormat="1" applyFont="1" applyFill="1" applyBorder="1" applyAlignment="1">
      <alignment horizontal="center" vertical="center"/>
    </xf>
    <xf numFmtId="2" fontId="0" fillId="0" borderId="4" xfId="0" applyNumberFormat="1" applyFont="1" applyFill="1" applyBorder="1" applyAlignment="1">
      <alignment horizontal="center" vertical="center"/>
    </xf>
    <xf numFmtId="9" fontId="0" fillId="11" borderId="11" xfId="0" applyNumberFormat="1" applyFont="1" applyFill="1" applyBorder="1" applyAlignment="1">
      <alignment horizontal="center" vertical="center"/>
    </xf>
    <xf numFmtId="9" fontId="2" fillId="11" borderId="1" xfId="0" applyNumberFormat="1" applyFont="1" applyFill="1" applyBorder="1" applyAlignment="1">
      <alignment horizontal="center" vertical="center"/>
    </xf>
    <xf numFmtId="10" fontId="2" fillId="11" borderId="24" xfId="0" applyNumberFormat="1" applyFont="1" applyFill="1" applyBorder="1" applyAlignment="1">
      <alignment horizontal="center" vertical="center"/>
    </xf>
    <xf numFmtId="0" fontId="2" fillId="11" borderId="15" xfId="0" applyFont="1" applyFill="1" applyBorder="1" applyAlignment="1">
      <alignment horizontal="center" vertical="center"/>
    </xf>
    <xf numFmtId="0" fontId="2" fillId="11" borderId="35" xfId="0" applyFont="1" applyFill="1" applyBorder="1" applyAlignment="1">
      <alignment horizontal="center" vertical="center"/>
    </xf>
    <xf numFmtId="0" fontId="2" fillId="11" borderId="17" xfId="0" applyFont="1" applyFill="1" applyBorder="1" applyAlignment="1">
      <alignment horizontal="center" vertical="center"/>
    </xf>
    <xf numFmtId="0" fontId="0" fillId="11" borderId="6" xfId="0" applyFont="1" applyFill="1" applyBorder="1" applyAlignment="1">
      <alignment horizontal="center" vertical="center"/>
    </xf>
    <xf numFmtId="0" fontId="2" fillId="11" borderId="24" xfId="0" applyFont="1" applyFill="1" applyBorder="1" applyAlignment="1">
      <alignment horizontal="center" vertical="center"/>
    </xf>
    <xf numFmtId="0" fontId="0" fillId="11" borderId="25" xfId="0" applyFont="1" applyFill="1" applyBorder="1" applyAlignment="1">
      <alignment horizontal="center" vertical="center"/>
    </xf>
    <xf numFmtId="9" fontId="2" fillId="6" borderId="11" xfId="0" applyNumberFormat="1" applyFont="1" applyFill="1" applyBorder="1" applyAlignment="1">
      <alignment horizontal="center" vertical="center"/>
    </xf>
    <xf numFmtId="9" fontId="0" fillId="6" borderId="11" xfId="0" applyNumberFormat="1" applyFont="1" applyFill="1" applyBorder="1" applyAlignment="1">
      <alignment horizontal="center" vertical="center"/>
    </xf>
    <xf numFmtId="9" fontId="2" fillId="6" borderId="1" xfId="0" applyNumberFormat="1" applyFont="1" applyFill="1" applyBorder="1" applyAlignment="1">
      <alignment horizontal="center" vertical="center"/>
    </xf>
    <xf numFmtId="10" fontId="2" fillId="6" borderId="24" xfId="0" applyNumberFormat="1" applyFont="1" applyFill="1" applyBorder="1" applyAlignment="1">
      <alignment horizontal="center" vertical="center"/>
    </xf>
    <xf numFmtId="0" fontId="2" fillId="6" borderId="15" xfId="0" applyFont="1" applyFill="1" applyBorder="1" applyAlignment="1">
      <alignment horizontal="center" vertical="center"/>
    </xf>
    <xf numFmtId="0" fontId="2" fillId="6" borderId="35" xfId="0" applyFont="1" applyFill="1" applyBorder="1" applyAlignment="1">
      <alignment horizontal="center" vertical="center"/>
    </xf>
    <xf numFmtId="0" fontId="2" fillId="6" borderId="17" xfId="0" applyFont="1" applyFill="1" applyBorder="1" applyAlignment="1">
      <alignment horizontal="center" vertical="center"/>
    </xf>
    <xf numFmtId="0" fontId="0" fillId="6" borderId="6" xfId="0" applyFont="1" applyFill="1" applyBorder="1" applyAlignment="1">
      <alignment horizontal="center" vertical="center"/>
    </xf>
    <xf numFmtId="0" fontId="2" fillId="6" borderId="24" xfId="0" applyFont="1" applyFill="1" applyBorder="1" applyAlignment="1">
      <alignment horizontal="center" vertical="center"/>
    </xf>
    <xf numFmtId="0" fontId="0" fillId="6" borderId="25" xfId="0" applyFont="1" applyFill="1" applyBorder="1" applyAlignment="1">
      <alignment horizontal="center" vertical="center"/>
    </xf>
    <xf numFmtId="9" fontId="2" fillId="9" borderId="11" xfId="0" applyNumberFormat="1" applyFont="1" applyFill="1" applyBorder="1" applyAlignment="1">
      <alignment horizontal="center" vertical="center"/>
    </xf>
    <xf numFmtId="9" fontId="0" fillId="9" borderId="11" xfId="0" applyNumberFormat="1" applyFont="1" applyFill="1" applyBorder="1" applyAlignment="1">
      <alignment horizontal="center" vertical="center"/>
    </xf>
    <xf numFmtId="9" fontId="2" fillId="9" borderId="1" xfId="0" applyNumberFormat="1" applyFont="1" applyFill="1" applyBorder="1" applyAlignment="1">
      <alignment horizontal="center" vertical="center"/>
    </xf>
    <xf numFmtId="10" fontId="2" fillId="9" borderId="24" xfId="0" applyNumberFormat="1" applyFont="1" applyFill="1" applyBorder="1" applyAlignment="1">
      <alignment horizontal="center" vertical="center"/>
    </xf>
    <xf numFmtId="0" fontId="11"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66" fontId="4" fillId="0" borderId="0" xfId="0" applyNumberFormat="1" applyFont="1" applyFill="1" applyBorder="1" applyAlignment="1">
      <alignment horizontal="center" vertical="center"/>
    </xf>
    <xf numFmtId="0" fontId="0" fillId="0" borderId="0" xfId="0"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6" fillId="0" borderId="0" xfId="6" applyFill="1" applyBorder="1" applyAlignment="1">
      <alignment horizontal="center" vertical="center"/>
    </xf>
    <xf numFmtId="0" fontId="4" fillId="0" borderId="0" xfId="0" applyFont="1" applyFill="1" applyBorder="1" applyAlignment="1">
      <alignment horizontal="center" vertical="center"/>
    </xf>
    <xf numFmtId="0" fontId="4" fillId="0" borderId="0" xfId="6" applyFont="1" applyFill="1" applyBorder="1" applyAlignment="1">
      <alignment horizontal="center" vertical="center"/>
    </xf>
    <xf numFmtId="9" fontId="31" fillId="0" borderId="0" xfId="3" applyFont="1" applyFill="1" applyBorder="1" applyAlignment="1">
      <alignment horizontal="center" vertical="center"/>
    </xf>
    <xf numFmtId="170" fontId="0" fillId="0" borderId="0" xfId="4" applyNumberFormat="1" applyFont="1" applyFill="1" applyBorder="1" applyAlignment="1">
      <alignment horizontal="center" vertical="center"/>
    </xf>
    <xf numFmtId="0" fontId="11" fillId="8" borderId="21" xfId="0" applyFont="1" applyFill="1" applyBorder="1" applyAlignment="1">
      <alignment horizontal="left" vertical="center"/>
    </xf>
    <xf numFmtId="2" fontId="0" fillId="0" borderId="6" xfId="0" applyNumberFormat="1" applyFont="1" applyFill="1" applyBorder="1" applyAlignment="1">
      <alignment horizontal="center" vertical="center"/>
    </xf>
    <xf numFmtId="0" fontId="25" fillId="0" borderId="0" xfId="5" applyAlignment="1">
      <alignment horizontal="center" vertical="center"/>
    </xf>
    <xf numFmtId="0" fontId="25" fillId="0" borderId="0" xfId="5" applyBorder="1" applyAlignment="1">
      <alignment horizontal="center" vertical="center"/>
    </xf>
    <xf numFmtId="9" fontId="28" fillId="0" borderId="0" xfId="3" applyFont="1" applyFill="1" applyBorder="1" applyAlignment="1">
      <alignment horizontal="center" vertical="center"/>
    </xf>
    <xf numFmtId="9" fontId="0" fillId="0" borderId="0" xfId="3" applyFont="1" applyFill="1" applyBorder="1" applyAlignment="1" applyProtection="1">
      <alignment horizontal="center" vertical="center"/>
    </xf>
    <xf numFmtId="3" fontId="0" fillId="0" borderId="0" xfId="0" applyNumberFormat="1" applyFill="1" applyAlignment="1">
      <alignment horizontal="center" vertical="center"/>
    </xf>
    <xf numFmtId="3" fontId="33" fillId="7" borderId="14" xfId="0" applyNumberFormat="1" applyFont="1" applyFill="1" applyBorder="1" applyAlignment="1">
      <alignment horizontal="center" vertical="center" wrapText="1"/>
    </xf>
    <xf numFmtId="3" fontId="32" fillId="7" borderId="16" xfId="3" applyNumberFormat="1" applyFont="1" applyFill="1" applyBorder="1" applyAlignment="1">
      <alignment horizontal="center" vertical="center"/>
    </xf>
    <xf numFmtId="3" fontId="0" fillId="3" borderId="15" xfId="4" applyNumberFormat="1" applyFont="1" applyFill="1" applyBorder="1" applyAlignment="1">
      <alignment horizontal="center" vertical="center"/>
    </xf>
    <xf numFmtId="3" fontId="0" fillId="3" borderId="15" xfId="0" applyNumberFormat="1" applyFont="1" applyFill="1" applyBorder="1" applyAlignment="1">
      <alignment horizontal="center" vertical="center"/>
    </xf>
    <xf numFmtId="3" fontId="0" fillId="3" borderId="25" xfId="0" applyNumberFormat="1" applyFont="1" applyFill="1" applyBorder="1" applyAlignment="1">
      <alignment horizontal="center" vertical="center"/>
    </xf>
    <xf numFmtId="3" fontId="0" fillId="3" borderId="25" xfId="0" applyNumberFormat="1" applyFill="1" applyBorder="1" applyAlignment="1">
      <alignment horizontal="center" vertical="center"/>
    </xf>
    <xf numFmtId="3" fontId="0" fillId="3" borderId="15" xfId="0" applyNumberFormat="1" applyFill="1" applyBorder="1" applyAlignment="1">
      <alignment horizontal="center" vertical="center"/>
    </xf>
    <xf numFmtId="3" fontId="4" fillId="3" borderId="15" xfId="0" applyNumberFormat="1" applyFont="1" applyFill="1" applyBorder="1" applyAlignment="1">
      <alignment horizontal="center" vertical="center"/>
    </xf>
    <xf numFmtId="3" fontId="32" fillId="7" borderId="16" xfId="0" applyNumberFormat="1" applyFont="1" applyFill="1" applyBorder="1" applyAlignment="1">
      <alignment horizontal="center" vertical="center"/>
    </xf>
    <xf numFmtId="3" fontId="4" fillId="3" borderId="25" xfId="0" applyNumberFormat="1" applyFont="1" applyFill="1" applyBorder="1" applyAlignment="1">
      <alignment horizontal="center" vertical="center"/>
    </xf>
    <xf numFmtId="3" fontId="0" fillId="3" borderId="28" xfId="0" applyNumberFormat="1" applyFill="1" applyBorder="1" applyAlignment="1">
      <alignment horizontal="center" vertical="center"/>
    </xf>
    <xf numFmtId="3" fontId="2" fillId="0" borderId="0" xfId="0" applyNumberFormat="1" applyFont="1" applyFill="1" applyBorder="1" applyAlignment="1">
      <alignment horizontal="center" vertical="center"/>
    </xf>
    <xf numFmtId="3" fontId="25" fillId="0" borderId="0" xfId="5" applyNumberFormat="1" applyAlignment="1">
      <alignment horizontal="center" vertical="center"/>
    </xf>
    <xf numFmtId="3" fontId="25" fillId="0" borderId="0" xfId="5" applyNumberFormat="1" applyBorder="1" applyAlignment="1">
      <alignment horizontal="center" vertical="center"/>
    </xf>
    <xf numFmtId="3" fontId="0" fillId="0" borderId="0" xfId="0" applyNumberFormat="1" applyFill="1" applyBorder="1" applyAlignment="1">
      <alignment horizontal="center" vertical="center"/>
    </xf>
    <xf numFmtId="3" fontId="26" fillId="0" borderId="0" xfId="6" applyNumberFormat="1" applyFill="1" applyBorder="1" applyAlignment="1">
      <alignment horizontal="center" vertical="center"/>
    </xf>
    <xf numFmtId="3" fontId="28" fillId="0" borderId="0" xfId="3" applyNumberFormat="1" applyFont="1" applyFill="1" applyBorder="1" applyAlignment="1">
      <alignment horizontal="center" vertical="center"/>
    </xf>
    <xf numFmtId="3" fontId="0" fillId="0" borderId="0" xfId="3" applyNumberFormat="1" applyFont="1" applyFill="1" applyBorder="1" applyAlignment="1" applyProtection="1">
      <alignment horizontal="center" vertical="center"/>
    </xf>
    <xf numFmtId="3" fontId="4" fillId="0" borderId="0" xfId="6" applyNumberFormat="1" applyFont="1" applyFill="1" applyBorder="1" applyAlignment="1">
      <alignment horizontal="center" vertical="center"/>
    </xf>
    <xf numFmtId="3" fontId="31" fillId="0" borderId="0" xfId="3"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165" fontId="2" fillId="0" borderId="31" xfId="0" applyNumberFormat="1" applyFont="1" applyFill="1" applyBorder="1" applyAlignment="1">
      <alignment horizontal="center" vertical="center"/>
    </xf>
    <xf numFmtId="165" fontId="2" fillId="0" borderId="22" xfId="0" applyNumberFormat="1" applyFont="1" applyFill="1" applyBorder="1" applyAlignment="1">
      <alignment horizontal="center" vertical="center"/>
    </xf>
    <xf numFmtId="1" fontId="2" fillId="0" borderId="34" xfId="0" applyNumberFormat="1" applyFont="1" applyFill="1" applyBorder="1" applyAlignment="1">
      <alignment horizontal="center" vertical="center"/>
    </xf>
    <xf numFmtId="2" fontId="2" fillId="0" borderId="34" xfId="0" applyNumberFormat="1" applyFont="1" applyFill="1" applyBorder="1" applyAlignment="1">
      <alignment horizontal="center" vertical="center"/>
    </xf>
    <xf numFmtId="0" fontId="0" fillId="0" borderId="6" xfId="0" applyFill="1" applyBorder="1" applyAlignment="1">
      <alignment horizontal="center" vertical="center"/>
    </xf>
    <xf numFmtId="165" fontId="2" fillId="0" borderId="0" xfId="3" applyNumberFormat="1" applyFont="1" applyFill="1" applyBorder="1" applyAlignment="1">
      <alignment horizontal="center" vertical="center"/>
    </xf>
    <xf numFmtId="165" fontId="4" fillId="0" borderId="0" xfId="3" applyNumberFormat="1" applyFont="1" applyFill="1" applyBorder="1" applyAlignment="1">
      <alignment horizontal="center" vertical="center"/>
    </xf>
    <xf numFmtId="165" fontId="12" fillId="0" borderId="0" xfId="3" applyNumberFormat="1" applyFont="1" applyFill="1" applyBorder="1" applyAlignment="1">
      <alignment horizontal="center" vertical="center"/>
    </xf>
    <xf numFmtId="165" fontId="4" fillId="0" borderId="4" xfId="3" applyNumberFormat="1" applyFont="1" applyFill="1" applyBorder="1" applyAlignment="1">
      <alignment horizontal="center" vertical="center"/>
    </xf>
    <xf numFmtId="165" fontId="18" fillId="0" borderId="0" xfId="3" applyNumberFormat="1" applyFont="1" applyFill="1" applyBorder="1" applyAlignment="1">
      <alignment horizontal="center" vertical="center"/>
    </xf>
    <xf numFmtId="165" fontId="12" fillId="0" borderId="4" xfId="3" applyNumberFormat="1" applyFont="1" applyFill="1" applyBorder="1" applyAlignment="1">
      <alignment horizontal="center" vertical="center"/>
    </xf>
    <xf numFmtId="4" fontId="0" fillId="0" borderId="0" xfId="0" applyNumberFormat="1" applyBorder="1" applyAlignment="1">
      <alignment horizontal="center" vertical="center"/>
    </xf>
    <xf numFmtId="2" fontId="2" fillId="0" borderId="33" xfId="0" applyNumberFormat="1" applyFont="1" applyFill="1" applyBorder="1" applyAlignment="1">
      <alignment horizontal="center" vertical="center"/>
    </xf>
    <xf numFmtId="168" fontId="0" fillId="0" borderId="6" xfId="0" applyNumberFormat="1" applyFill="1" applyBorder="1" applyAlignment="1">
      <alignment horizontal="center" vertical="center"/>
    </xf>
    <xf numFmtId="168" fontId="0" fillId="0" borderId="19" xfId="0" applyNumberFormat="1" applyFill="1" applyBorder="1" applyAlignment="1">
      <alignment horizontal="center" vertical="center"/>
    </xf>
    <xf numFmtId="2" fontId="0" fillId="0" borderId="33" xfId="0" applyNumberFormat="1" applyFont="1" applyFill="1" applyBorder="1" applyAlignment="1">
      <alignment horizontal="center" vertical="center"/>
    </xf>
    <xf numFmtId="9" fontId="2" fillId="0" borderId="4"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2" fontId="12" fillId="0" borderId="19" xfId="0" applyNumberFormat="1" applyFont="1" applyFill="1" applyBorder="1" applyAlignment="1">
      <alignment horizontal="center" vertical="center"/>
    </xf>
    <xf numFmtId="0" fontId="0" fillId="0" borderId="2" xfId="0" applyFill="1" applyBorder="1" applyAlignment="1">
      <alignment horizontal="center" vertical="center"/>
    </xf>
    <xf numFmtId="0" fontId="13" fillId="8" borderId="15" xfId="0" applyFont="1" applyFill="1" applyBorder="1" applyAlignment="1">
      <alignment horizontal="left" vertical="center"/>
    </xf>
    <xf numFmtId="0" fontId="14" fillId="8" borderId="15" xfId="0" applyFont="1" applyFill="1" applyBorder="1" applyAlignment="1">
      <alignment horizontal="left" vertical="center"/>
    </xf>
    <xf numFmtId="0" fontId="14" fillId="8" borderId="25" xfId="0" applyFont="1" applyFill="1" applyBorder="1" applyAlignment="1">
      <alignment horizontal="left" vertical="center"/>
    </xf>
    <xf numFmtId="0" fontId="11" fillId="8" borderId="35" xfId="0" applyFont="1" applyFill="1" applyBorder="1" applyAlignment="1">
      <alignment horizontal="left" vertical="center"/>
    </xf>
    <xf numFmtId="0" fontId="10" fillId="8" borderId="15" xfId="0" applyFont="1" applyFill="1" applyBorder="1" applyAlignment="1">
      <alignment horizontal="left" vertical="center"/>
    </xf>
    <xf numFmtId="0" fontId="11" fillId="8" borderId="28" xfId="0" applyFont="1" applyFill="1" applyBorder="1" applyAlignment="1">
      <alignment horizontal="left" vertical="center"/>
    </xf>
    <xf numFmtId="0" fontId="11" fillId="11" borderId="15" xfId="0" applyFont="1" applyFill="1" applyBorder="1" applyAlignment="1">
      <alignment horizontal="left" vertical="center"/>
    </xf>
    <xf numFmtId="0" fontId="13" fillId="11" borderId="15" xfId="0" applyFont="1" applyFill="1" applyBorder="1" applyAlignment="1">
      <alignment horizontal="left" vertical="center"/>
    </xf>
    <xf numFmtId="0" fontId="14" fillId="11" borderId="15" xfId="0" applyFont="1" applyFill="1" applyBorder="1" applyAlignment="1">
      <alignment horizontal="left" vertical="center"/>
    </xf>
    <xf numFmtId="0" fontId="14" fillId="11" borderId="25" xfId="0" applyFont="1" applyFill="1" applyBorder="1" applyAlignment="1">
      <alignment horizontal="left" vertical="center"/>
    </xf>
    <xf numFmtId="0" fontId="11" fillId="11" borderId="35" xfId="0" applyFont="1" applyFill="1" applyBorder="1" applyAlignment="1">
      <alignment horizontal="left" vertical="center"/>
    </xf>
    <xf numFmtId="0" fontId="10" fillId="11" borderId="15" xfId="0" applyFont="1" applyFill="1" applyBorder="1" applyAlignment="1">
      <alignment horizontal="left" vertical="center"/>
    </xf>
    <xf numFmtId="0" fontId="10" fillId="11" borderId="15" xfId="1" applyFont="1" applyFill="1" applyBorder="1" applyAlignment="1">
      <alignment horizontal="left" vertical="center"/>
    </xf>
    <xf numFmtId="0" fontId="11" fillId="11" borderId="28" xfId="0" applyFont="1" applyFill="1" applyBorder="1" applyAlignment="1">
      <alignment horizontal="left" vertical="center"/>
    </xf>
    <xf numFmtId="0" fontId="11" fillId="11" borderId="35" xfId="1" applyFont="1" applyFill="1" applyBorder="1" applyAlignment="1">
      <alignment horizontal="left" vertical="center"/>
    </xf>
    <xf numFmtId="0" fontId="10" fillId="11" borderId="25" xfId="0" applyFont="1" applyFill="1" applyBorder="1" applyAlignment="1">
      <alignment horizontal="left" vertical="center"/>
    </xf>
    <xf numFmtId="0" fontId="10" fillId="11" borderId="28" xfId="0" applyFont="1" applyFill="1" applyBorder="1" applyAlignment="1">
      <alignment horizontal="left" vertical="center"/>
    </xf>
    <xf numFmtId="0" fontId="11" fillId="6" borderId="15" xfId="0" applyFont="1" applyFill="1" applyBorder="1" applyAlignment="1">
      <alignment horizontal="left" vertical="center"/>
    </xf>
    <xf numFmtId="0" fontId="13" fillId="6" borderId="15" xfId="0" applyFont="1" applyFill="1" applyBorder="1" applyAlignment="1">
      <alignment horizontal="left" vertical="center"/>
    </xf>
    <xf numFmtId="0" fontId="14" fillId="6" borderId="15" xfId="0" applyFont="1" applyFill="1" applyBorder="1" applyAlignment="1">
      <alignment horizontal="left" vertical="center"/>
    </xf>
    <xf numFmtId="0" fontId="14" fillId="6" borderId="25" xfId="0" applyFont="1" applyFill="1" applyBorder="1" applyAlignment="1">
      <alignment horizontal="left" vertical="center"/>
    </xf>
    <xf numFmtId="0" fontId="11" fillId="6" borderId="35" xfId="0" applyFont="1" applyFill="1" applyBorder="1" applyAlignment="1">
      <alignment horizontal="left" vertical="center"/>
    </xf>
    <xf numFmtId="0" fontId="10" fillId="6" borderId="15" xfId="0" applyFont="1" applyFill="1" applyBorder="1" applyAlignment="1">
      <alignment horizontal="left" vertical="center"/>
    </xf>
    <xf numFmtId="0" fontId="10" fillId="6" borderId="15" xfId="1" applyFont="1" applyFill="1" applyBorder="1" applyAlignment="1">
      <alignment horizontal="left" vertical="center"/>
    </xf>
    <xf numFmtId="0" fontId="11" fillId="6" borderId="28" xfId="0" applyFont="1" applyFill="1" applyBorder="1" applyAlignment="1">
      <alignment horizontal="left" vertical="center"/>
    </xf>
    <xf numFmtId="0" fontId="11" fillId="6" borderId="35" xfId="1" applyFont="1" applyFill="1" applyBorder="1" applyAlignment="1">
      <alignment horizontal="left" vertical="center"/>
    </xf>
    <xf numFmtId="0" fontId="10" fillId="6" borderId="25" xfId="0" applyFont="1" applyFill="1" applyBorder="1" applyAlignment="1">
      <alignment horizontal="left" vertical="center"/>
    </xf>
    <xf numFmtId="0" fontId="10" fillId="6" borderId="28" xfId="0" applyFont="1" applyFill="1" applyBorder="1" applyAlignment="1">
      <alignment horizontal="left" vertical="center"/>
    </xf>
    <xf numFmtId="0" fontId="11" fillId="9" borderId="15" xfId="0" applyFont="1" applyFill="1" applyBorder="1" applyAlignment="1">
      <alignment horizontal="left" vertical="center"/>
    </xf>
    <xf numFmtId="0" fontId="13" fillId="9" borderId="15" xfId="0" applyFont="1" applyFill="1" applyBorder="1" applyAlignment="1">
      <alignment horizontal="left" vertical="center"/>
    </xf>
    <xf numFmtId="0" fontId="14" fillId="9" borderId="15" xfId="0" applyFont="1" applyFill="1" applyBorder="1" applyAlignment="1">
      <alignment horizontal="left" vertical="center"/>
    </xf>
    <xf numFmtId="0" fontId="14" fillId="9" borderId="25" xfId="0" applyFont="1" applyFill="1" applyBorder="1" applyAlignment="1">
      <alignment horizontal="left" vertical="center"/>
    </xf>
    <xf numFmtId="0" fontId="11" fillId="9" borderId="35" xfId="0" applyFont="1" applyFill="1" applyBorder="1" applyAlignment="1">
      <alignment horizontal="left" vertical="center"/>
    </xf>
    <xf numFmtId="0" fontId="10" fillId="9" borderId="15" xfId="0" applyFont="1" applyFill="1" applyBorder="1" applyAlignment="1">
      <alignment horizontal="left" vertical="center"/>
    </xf>
    <xf numFmtId="0" fontId="10" fillId="9" borderId="15" xfId="1" applyFont="1" applyFill="1" applyBorder="1" applyAlignment="1">
      <alignment horizontal="left" vertical="center"/>
    </xf>
    <xf numFmtId="0" fontId="11" fillId="9" borderId="28" xfId="0" applyFont="1" applyFill="1" applyBorder="1" applyAlignment="1">
      <alignment horizontal="left" vertical="center"/>
    </xf>
    <xf numFmtId="0" fontId="0" fillId="9" borderId="15" xfId="0" applyFill="1" applyBorder="1" applyAlignment="1">
      <alignment horizontal="left" vertical="center"/>
    </xf>
    <xf numFmtId="0" fontId="11" fillId="9" borderId="35" xfId="1" applyFont="1" applyFill="1" applyBorder="1" applyAlignment="1">
      <alignment horizontal="left" vertical="center"/>
    </xf>
    <xf numFmtId="0" fontId="10" fillId="9" borderId="25" xfId="0" applyFont="1" applyFill="1" applyBorder="1" applyAlignment="1">
      <alignment horizontal="left" vertical="center"/>
    </xf>
    <xf numFmtId="0" fontId="0" fillId="0" borderId="0" xfId="0" applyNumberFormat="1" applyFont="1" applyFill="1" applyBorder="1" applyAlignment="1">
      <alignment horizontal="center" vertical="center"/>
    </xf>
    <xf numFmtId="2" fontId="0" fillId="2" borderId="28" xfId="0" applyNumberFormat="1" applyFont="1" applyFill="1" applyBorder="1" applyAlignment="1">
      <alignment horizontal="center" vertical="center"/>
    </xf>
    <xf numFmtId="2" fontId="0" fillId="2" borderId="14" xfId="0" applyNumberFormat="1" applyFont="1" applyFill="1" applyBorder="1" applyAlignment="1">
      <alignment horizontal="center" vertical="center"/>
    </xf>
    <xf numFmtId="2" fontId="0" fillId="2" borderId="15" xfId="0" applyNumberFormat="1" applyFont="1" applyFill="1" applyBorder="1" applyAlignment="1">
      <alignment horizontal="center" vertical="center"/>
    </xf>
    <xf numFmtId="2" fontId="0" fillId="2" borderId="16" xfId="0" applyNumberFormat="1" applyFont="1" applyFill="1" applyBorder="1" applyAlignment="1">
      <alignment horizontal="center" vertical="center"/>
    </xf>
    <xf numFmtId="172" fontId="0" fillId="0" borderId="31" xfId="4" applyNumberFormat="1" applyFont="1" applyFill="1" applyBorder="1" applyAlignment="1">
      <alignment horizontal="center" vertical="center"/>
    </xf>
    <xf numFmtId="171" fontId="0" fillId="0" borderId="0" xfId="4" applyNumberFormat="1" applyFont="1" applyFill="1" applyBorder="1" applyAlignment="1">
      <alignment horizontal="center" vertical="center"/>
    </xf>
    <xf numFmtId="10" fontId="0" fillId="0" borderId="31" xfId="0" applyNumberFormat="1" applyFill="1" applyBorder="1" applyAlignment="1">
      <alignment horizontal="center" vertical="center"/>
    </xf>
    <xf numFmtId="9" fontId="0" fillId="2" borderId="28" xfId="3" applyFont="1" applyFill="1" applyBorder="1" applyAlignment="1">
      <alignment horizontal="center" vertical="center"/>
    </xf>
    <xf numFmtId="9" fontId="12" fillId="8" borderId="0" xfId="0" applyNumberFormat="1" applyFont="1" applyFill="1" applyBorder="1" applyAlignment="1">
      <alignment horizontal="center" vertical="center"/>
    </xf>
    <xf numFmtId="9" fontId="12" fillId="8" borderId="4" xfId="0" applyNumberFormat="1" applyFont="1" applyFill="1" applyBorder="1" applyAlignment="1">
      <alignment horizontal="center" vertical="center"/>
    </xf>
    <xf numFmtId="10" fontId="0" fillId="0" borderId="0" xfId="0" applyNumberFormat="1" applyFill="1" applyBorder="1" applyAlignment="1">
      <alignment horizontal="center" vertical="center"/>
    </xf>
    <xf numFmtId="9" fontId="17" fillId="0" borderId="0" xfId="0" applyNumberFormat="1" applyFont="1" applyFill="1" applyBorder="1" applyAlignment="1">
      <alignment horizontal="center" vertical="center"/>
    </xf>
    <xf numFmtId="169" fontId="4" fillId="0" borderId="0" xfId="0" applyNumberFormat="1" applyFont="1" applyFill="1" applyBorder="1" applyAlignment="1">
      <alignment horizontal="center" vertical="center"/>
    </xf>
    <xf numFmtId="1" fontId="2" fillId="8" borderId="23" xfId="0" applyNumberFormat="1" applyFont="1" applyFill="1" applyBorder="1" applyAlignment="1">
      <alignment horizontal="center" vertical="center"/>
    </xf>
    <xf numFmtId="167" fontId="0" fillId="0" borderId="0" xfId="0" applyNumberFormat="1" applyFill="1" applyBorder="1" applyAlignment="1">
      <alignment horizontal="center" vertical="center"/>
    </xf>
    <xf numFmtId="2" fontId="0" fillId="0" borderId="0" xfId="0" applyNumberFormat="1" applyFill="1" applyAlignment="1">
      <alignment horizontal="center" vertical="center"/>
    </xf>
    <xf numFmtId="167" fontId="0" fillId="0" borderId="4" xfId="0" applyNumberFormat="1" applyFill="1" applyBorder="1" applyAlignment="1">
      <alignment horizontal="center" vertical="center"/>
    </xf>
    <xf numFmtId="9" fontId="0" fillId="15" borderId="42" xfId="3" applyFont="1" applyFill="1" applyBorder="1" applyAlignment="1">
      <alignment horizontal="center" vertical="center"/>
    </xf>
    <xf numFmtId="0" fontId="0" fillId="0" borderId="31" xfId="0" applyFill="1" applyBorder="1" applyAlignment="1">
      <alignment horizontal="center" vertical="center"/>
    </xf>
    <xf numFmtId="167" fontId="0" fillId="0" borderId="1" xfId="0" applyNumberFormat="1" applyFill="1" applyBorder="1" applyAlignment="1">
      <alignment horizontal="center" vertical="center"/>
    </xf>
    <xf numFmtId="169" fontId="3" fillId="10" borderId="14" xfId="0" applyNumberFormat="1" applyFont="1" applyFill="1" applyBorder="1" applyAlignment="1">
      <alignment horizontal="center" vertical="center"/>
    </xf>
    <xf numFmtId="1" fontId="2" fillId="12" borderId="14" xfId="0" applyNumberFormat="1" applyFont="1" applyFill="1" applyBorder="1" applyAlignment="1">
      <alignment horizontal="center" vertical="center"/>
    </xf>
    <xf numFmtId="2" fontId="12" fillId="0" borderId="31" xfId="0" applyNumberFormat="1" applyFont="1" applyFill="1" applyBorder="1" applyAlignment="1">
      <alignment horizontal="center" vertical="center"/>
    </xf>
    <xf numFmtId="0" fontId="0" fillId="8" borderId="13" xfId="0" applyFill="1" applyBorder="1" applyAlignment="1">
      <alignment horizontal="center" vertical="center"/>
    </xf>
    <xf numFmtId="10" fontId="0" fillId="0" borderId="1" xfId="0" applyNumberFormat="1" applyFill="1" applyBorder="1" applyAlignment="1">
      <alignment horizontal="center" vertical="center"/>
    </xf>
    <xf numFmtId="9" fontId="0" fillId="11" borderId="4" xfId="0" applyNumberFormat="1" applyFont="1" applyFill="1" applyBorder="1" applyAlignment="1">
      <alignment horizontal="center" vertical="center"/>
    </xf>
    <xf numFmtId="0" fontId="0" fillId="11" borderId="22" xfId="0" applyFont="1" applyFill="1" applyBorder="1" applyAlignment="1">
      <alignment horizontal="center" vertical="center"/>
    </xf>
    <xf numFmtId="4" fontId="0" fillId="0" borderId="0" xfId="0" applyNumberFormat="1" applyFont="1" applyFill="1" applyBorder="1" applyAlignment="1">
      <alignment horizontal="center" vertical="center"/>
    </xf>
    <xf numFmtId="9" fontId="0" fillId="6" borderId="0" xfId="0" applyNumberFormat="1" applyFont="1" applyFill="1" applyBorder="1" applyAlignment="1">
      <alignment horizontal="center" vertical="center"/>
    </xf>
    <xf numFmtId="9" fontId="0" fillId="6" borderId="4" xfId="0" applyNumberFormat="1" applyFont="1" applyFill="1" applyBorder="1" applyAlignment="1">
      <alignment horizontal="center" vertical="center"/>
    </xf>
    <xf numFmtId="0" fontId="0" fillId="6" borderId="22" xfId="0" applyFont="1" applyFill="1" applyBorder="1" applyAlignment="1">
      <alignment horizontal="center" vertical="center"/>
    </xf>
    <xf numFmtId="0" fontId="0" fillId="6" borderId="13" xfId="0" applyFill="1" applyBorder="1" applyAlignment="1">
      <alignment horizontal="center" vertical="center"/>
    </xf>
    <xf numFmtId="0" fontId="0" fillId="9" borderId="22" xfId="0" applyFont="1" applyFill="1" applyBorder="1" applyAlignment="1">
      <alignment horizontal="center" vertical="center"/>
    </xf>
    <xf numFmtId="0" fontId="0" fillId="0" borderId="0" xfId="0" applyBorder="1" applyAlignment="1">
      <alignment horizontal="center" vertical="center"/>
    </xf>
    <xf numFmtId="0" fontId="30" fillId="0" borderId="0" xfId="6" applyFont="1" applyFill="1" applyBorder="1" applyAlignment="1">
      <alignment horizontal="center" vertical="center"/>
    </xf>
    <xf numFmtId="0" fontId="29" fillId="0" borderId="0" xfId="0" applyFont="1" applyFill="1" applyBorder="1" applyAlignment="1">
      <alignment horizontal="center" vertical="center"/>
    </xf>
    <xf numFmtId="9" fontId="28" fillId="0" borderId="0" xfId="3" applyNumberFormat="1" applyFont="1" applyFill="1" applyBorder="1" applyAlignment="1">
      <alignment horizontal="center" vertical="center"/>
    </xf>
    <xf numFmtId="3" fontId="0" fillId="0" borderId="0" xfId="0" applyNumberFormat="1" applyFill="1" applyBorder="1" applyAlignment="1" applyProtection="1">
      <alignment horizontal="center" vertical="center"/>
    </xf>
    <xf numFmtId="1" fontId="0" fillId="0" borderId="0" xfId="0" applyNumberFormat="1" applyFill="1" applyBorder="1" applyAlignment="1" applyProtection="1">
      <alignment horizontal="center" vertical="center"/>
    </xf>
    <xf numFmtId="9" fontId="0" fillId="0" borderId="0" xfId="0" applyNumberFormat="1" applyFill="1" applyBorder="1" applyAlignment="1" applyProtection="1">
      <alignment horizontal="center" vertical="center"/>
    </xf>
    <xf numFmtId="9" fontId="0" fillId="0" borderId="0" xfId="3" applyNumberFormat="1" applyFont="1" applyFill="1" applyBorder="1" applyAlignment="1" applyProtection="1">
      <alignment horizontal="center" vertical="center"/>
    </xf>
    <xf numFmtId="0" fontId="3" fillId="0" borderId="0" xfId="6" applyFont="1" applyFill="1" applyBorder="1" applyAlignment="1">
      <alignment horizontal="center" vertical="center"/>
    </xf>
    <xf numFmtId="9" fontId="29" fillId="0" borderId="0" xfId="3" applyFont="1" applyFill="1" applyBorder="1" applyAlignment="1">
      <alignment horizontal="center" vertical="center"/>
    </xf>
    <xf numFmtId="3" fontId="2" fillId="16" borderId="15" xfId="4" applyNumberFormat="1" applyFont="1" applyFill="1" applyBorder="1" applyAlignment="1">
      <alignment horizontal="center" vertical="center"/>
    </xf>
    <xf numFmtId="3" fontId="0" fillId="16" borderId="15" xfId="4" applyNumberFormat="1" applyFont="1" applyFill="1" applyBorder="1" applyAlignment="1">
      <alignment horizontal="center" vertical="center"/>
    </xf>
    <xf numFmtId="3" fontId="2" fillId="16" borderId="35" xfId="0" applyNumberFormat="1" applyFont="1" applyFill="1" applyBorder="1" applyAlignment="1">
      <alignment horizontal="center" vertical="center"/>
    </xf>
    <xf numFmtId="3" fontId="0" fillId="16" borderId="15" xfId="0" applyNumberFormat="1" applyFont="1" applyFill="1" applyBorder="1" applyAlignment="1">
      <alignment horizontal="center" vertical="center"/>
    </xf>
    <xf numFmtId="3" fontId="0" fillId="16" borderId="25" xfId="4" applyNumberFormat="1" applyFont="1" applyFill="1" applyBorder="1" applyAlignment="1">
      <alignment horizontal="center" vertical="center"/>
    </xf>
    <xf numFmtId="3" fontId="0" fillId="16" borderId="15" xfId="0" applyNumberFormat="1" applyFill="1" applyBorder="1" applyAlignment="1">
      <alignment horizontal="center" vertical="center"/>
    </xf>
    <xf numFmtId="3" fontId="12" fillId="16" borderId="15" xfId="0" applyNumberFormat="1" applyFont="1" applyFill="1" applyBorder="1" applyAlignment="1">
      <alignment horizontal="center" vertical="center"/>
    </xf>
    <xf numFmtId="3" fontId="0" fillId="16" borderId="35" xfId="0" applyNumberFormat="1" applyFill="1" applyBorder="1" applyAlignment="1">
      <alignment horizontal="center" vertical="center"/>
    </xf>
    <xf numFmtId="3" fontId="0" fillId="16" borderId="25" xfId="0" applyNumberFormat="1" applyFill="1" applyBorder="1" applyAlignment="1">
      <alignment horizontal="center" vertical="center"/>
    </xf>
    <xf numFmtId="3" fontId="0" fillId="16" borderId="35" xfId="0" applyNumberFormat="1" applyFont="1" applyFill="1" applyBorder="1" applyAlignment="1">
      <alignment horizontal="center" vertical="center"/>
    </xf>
    <xf numFmtId="3" fontId="4" fillId="16" borderId="15" xfId="0" applyNumberFormat="1" applyFont="1" applyFill="1" applyBorder="1" applyAlignment="1">
      <alignment horizontal="center" vertical="center"/>
    </xf>
    <xf numFmtId="3" fontId="2" fillId="16" borderId="28" xfId="0" applyNumberFormat="1" applyFont="1" applyFill="1" applyBorder="1" applyAlignment="1">
      <alignment horizontal="center" vertical="center"/>
    </xf>
    <xf numFmtId="3" fontId="33" fillId="7" borderId="10" xfId="0" applyNumberFormat="1" applyFont="1" applyFill="1" applyBorder="1" applyAlignment="1">
      <alignment horizontal="center" vertical="center" wrapText="1"/>
    </xf>
    <xf numFmtId="3" fontId="32" fillId="7" borderId="13"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xf numFmtId="165" fontId="4" fillId="0" borderId="6" xfId="0" applyNumberFormat="1" applyFont="1" applyFill="1" applyBorder="1" applyAlignment="1">
      <alignment horizontal="center" vertical="center"/>
    </xf>
    <xf numFmtId="165" fontId="4" fillId="0" borderId="11"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165" fontId="4" fillId="0" borderId="4" xfId="0" applyNumberFormat="1" applyFont="1" applyFill="1" applyBorder="1" applyAlignment="1">
      <alignment horizontal="center" vertical="center"/>
    </xf>
    <xf numFmtId="165" fontId="4" fillId="0" borderId="20" xfId="0" applyNumberFormat="1" applyFont="1" applyFill="1" applyBorder="1" applyAlignment="1">
      <alignment horizontal="center" vertical="center"/>
    </xf>
    <xf numFmtId="9" fontId="4" fillId="0" borderId="4" xfId="0" applyNumberFormat="1" applyFont="1" applyFill="1" applyBorder="1" applyAlignment="1">
      <alignment horizontal="center" vertical="center"/>
    </xf>
    <xf numFmtId="0" fontId="4" fillId="0" borderId="21" xfId="0" applyFont="1" applyFill="1" applyBorder="1" applyAlignment="1">
      <alignment horizontal="center" vertical="center"/>
    </xf>
    <xf numFmtId="9" fontId="3" fillId="0" borderId="6" xfId="0" applyNumberFormat="1" applyFont="1" applyFill="1" applyBorder="1" applyAlignment="1">
      <alignment horizontal="center" vertical="center"/>
    </xf>
    <xf numFmtId="0" fontId="2" fillId="8" borderId="11" xfId="0" applyFont="1" applyFill="1" applyBorder="1" applyAlignment="1">
      <alignment horizontal="center" vertical="center"/>
    </xf>
    <xf numFmtId="0" fontId="0" fillId="8" borderId="0" xfId="0" applyNumberFormat="1" applyFill="1" applyBorder="1" applyAlignment="1">
      <alignment horizontal="center" vertical="center" wrapText="1"/>
    </xf>
    <xf numFmtId="0" fontId="2" fillId="8" borderId="34" xfId="0" applyFont="1" applyFill="1" applyBorder="1" applyAlignment="1">
      <alignment horizontal="center" vertical="center"/>
    </xf>
    <xf numFmtId="0" fontId="0" fillId="8" borderId="11" xfId="0" applyNumberFormat="1" applyFill="1" applyBorder="1" applyAlignment="1">
      <alignment horizontal="center" vertical="center" wrapText="1"/>
    </xf>
    <xf numFmtId="9" fontId="11" fillId="8" borderId="34" xfId="0" applyNumberFormat="1" applyFont="1" applyFill="1" applyBorder="1" applyAlignment="1">
      <alignment horizontal="center" vertical="center"/>
    </xf>
    <xf numFmtId="0" fontId="2" fillId="8" borderId="31" xfId="0" applyFont="1" applyFill="1" applyBorder="1" applyAlignment="1">
      <alignment horizontal="center" vertical="center"/>
    </xf>
    <xf numFmtId="0" fontId="0" fillId="8" borderId="0" xfId="0" applyFont="1" applyFill="1" applyBorder="1" applyAlignment="1">
      <alignment horizontal="center" vertical="center"/>
    </xf>
    <xf numFmtId="1" fontId="0" fillId="8" borderId="11" xfId="0" applyNumberFormat="1" applyFill="1" applyBorder="1" applyAlignment="1">
      <alignment horizontal="center" vertical="center"/>
    </xf>
    <xf numFmtId="3" fontId="3" fillId="3" borderId="14" xfId="4" applyNumberFormat="1" applyFont="1" applyFill="1" applyBorder="1" applyAlignment="1">
      <alignment horizontal="center" vertical="center"/>
    </xf>
    <xf numFmtId="3" fontId="4" fillId="3" borderId="15" xfId="4" applyNumberFormat="1" applyFont="1" applyFill="1" applyBorder="1" applyAlignment="1">
      <alignment horizontal="center" vertical="center"/>
    </xf>
    <xf numFmtId="3" fontId="3" fillId="3" borderId="15" xfId="4" applyNumberFormat="1" applyFont="1" applyFill="1" applyBorder="1" applyAlignment="1">
      <alignment horizontal="center" vertical="center"/>
    </xf>
    <xf numFmtId="3" fontId="4" fillId="3" borderId="28" xfId="0" applyNumberFormat="1" applyFont="1" applyFill="1" applyBorder="1" applyAlignment="1">
      <alignment horizontal="center" vertical="center"/>
    </xf>
    <xf numFmtId="3" fontId="3" fillId="3" borderId="35" xfId="0" applyNumberFormat="1" applyFont="1" applyFill="1" applyBorder="1" applyAlignment="1">
      <alignment horizontal="center" vertical="center"/>
    </xf>
    <xf numFmtId="9" fontId="3" fillId="0" borderId="33" xfId="0" applyNumberFormat="1"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6" xfId="0" applyNumberFormat="1" applyFont="1" applyFill="1" applyBorder="1" applyAlignment="1">
      <alignment horizontal="center" vertical="center"/>
    </xf>
    <xf numFmtId="3" fontId="3" fillId="3" borderId="15" xfId="0" applyNumberFormat="1" applyFont="1" applyFill="1" applyBorder="1" applyAlignment="1">
      <alignment horizontal="center" vertical="center"/>
    </xf>
    <xf numFmtId="9" fontId="2" fillId="8" borderId="31" xfId="0" applyNumberFormat="1" applyFont="1" applyFill="1" applyBorder="1" applyAlignment="1">
      <alignment horizontal="center" vertical="center"/>
    </xf>
    <xf numFmtId="9" fontId="0" fillId="8" borderId="31" xfId="0" applyNumberFormat="1" applyFont="1" applyFill="1" applyBorder="1" applyAlignment="1">
      <alignment horizontal="center" vertical="center"/>
    </xf>
    <xf numFmtId="10" fontId="2" fillId="8" borderId="34"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3" fontId="3" fillId="3" borderId="28" xfId="0" applyNumberFormat="1" applyFont="1" applyFill="1" applyBorder="1" applyAlignment="1">
      <alignment horizontal="center" vertical="center"/>
    </xf>
    <xf numFmtId="3" fontId="32" fillId="7" borderId="12" xfId="0" applyNumberFormat="1" applyFont="1" applyFill="1" applyBorder="1" applyAlignment="1">
      <alignment horizontal="center" vertical="center"/>
    </xf>
    <xf numFmtId="3" fontId="12" fillId="0" borderId="0"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2" fillId="0" borderId="31"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12" fillId="0" borderId="4"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3" fontId="32" fillId="7" borderId="7" xfId="0" applyNumberFormat="1" applyFont="1" applyFill="1" applyBorder="1" applyAlignment="1">
      <alignment horizontal="center" vertical="center"/>
    </xf>
    <xf numFmtId="3" fontId="2" fillId="0" borderId="33" xfId="0" applyNumberFormat="1" applyFont="1" applyFill="1" applyBorder="1" applyAlignment="1">
      <alignment horizontal="center" vertical="center"/>
    </xf>
    <xf numFmtId="3" fontId="12" fillId="0" borderId="6" xfId="0" applyNumberFormat="1" applyFont="1" applyFill="1" applyBorder="1" applyAlignment="1">
      <alignment horizontal="center" vertical="center"/>
    </xf>
    <xf numFmtId="3" fontId="12" fillId="0" borderId="19" xfId="0" applyNumberFormat="1" applyFont="1" applyFill="1" applyBorder="1" applyAlignment="1">
      <alignment horizontal="center" vertical="center"/>
    </xf>
    <xf numFmtId="3" fontId="0" fillId="0" borderId="6"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21" xfId="0" applyNumberFormat="1" applyFont="1" applyFill="1" applyBorder="1" applyAlignment="1">
      <alignment horizontal="center" vertical="center"/>
    </xf>
    <xf numFmtId="3" fontId="0" fillId="0" borderId="0" xfId="3" applyNumberFormat="1" applyFont="1" applyFill="1" applyBorder="1" applyAlignment="1">
      <alignment horizontal="center" vertical="center"/>
    </xf>
    <xf numFmtId="3" fontId="0" fillId="0" borderId="4" xfId="0" applyNumberFormat="1" applyFill="1" applyBorder="1" applyAlignment="1">
      <alignment horizontal="center" vertical="center"/>
    </xf>
    <xf numFmtId="3" fontId="0" fillId="0" borderId="12" xfId="0" applyNumberFormat="1" applyFill="1" applyBorder="1" applyAlignment="1">
      <alignment horizontal="center" vertical="center"/>
    </xf>
    <xf numFmtId="3" fontId="0" fillId="0" borderId="31"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3" fontId="4" fillId="16" borderId="25"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3" fontId="33" fillId="7" borderId="8" xfId="0" applyNumberFormat="1" applyFont="1" applyFill="1" applyBorder="1" applyAlignment="1">
      <alignment horizontal="center" vertical="center" wrapText="1"/>
    </xf>
    <xf numFmtId="3" fontId="33" fillId="7" borderId="9" xfId="0" applyNumberFormat="1" applyFont="1" applyFill="1" applyBorder="1" applyAlignment="1">
      <alignment horizontal="center" vertical="center" wrapText="1"/>
    </xf>
    <xf numFmtId="3" fontId="32" fillId="7" borderId="6" xfId="0" applyNumberFormat="1" applyFont="1" applyFill="1" applyBorder="1" applyAlignment="1">
      <alignment horizontal="center" vertical="center"/>
    </xf>
    <xf numFmtId="3" fontId="32" fillId="7" borderId="0" xfId="0" applyNumberFormat="1" applyFont="1" applyFill="1" applyBorder="1" applyAlignment="1">
      <alignment horizontal="center" vertical="center"/>
    </xf>
    <xf numFmtId="3" fontId="32" fillId="7" borderId="11" xfId="0" applyNumberFormat="1" applyFont="1" applyFill="1" applyBorder="1" applyAlignment="1">
      <alignment horizontal="center" vertical="center"/>
    </xf>
    <xf numFmtId="3" fontId="0" fillId="16" borderId="8" xfId="4" applyNumberFormat="1" applyFont="1" applyFill="1" applyBorder="1" applyAlignment="1">
      <alignment horizontal="center" vertical="center"/>
    </xf>
    <xf numFmtId="3" fontId="0" fillId="16" borderId="9" xfId="0" applyNumberFormat="1" applyFill="1" applyBorder="1" applyAlignment="1">
      <alignment horizontal="center" vertical="center"/>
    </xf>
    <xf numFmtId="3" fontId="0" fillId="16" borderId="9" xfId="4" applyNumberFormat="1" applyFont="1" applyFill="1" applyBorder="1" applyAlignment="1">
      <alignment horizontal="center" vertical="center"/>
    </xf>
    <xf numFmtId="3" fontId="0" fillId="16" borderId="10" xfId="4" applyNumberFormat="1" applyFont="1" applyFill="1" applyBorder="1" applyAlignment="1">
      <alignment horizontal="center" vertical="center"/>
    </xf>
    <xf numFmtId="3" fontId="0" fillId="16" borderId="6" xfId="0" applyNumberFormat="1" applyFill="1" applyBorder="1" applyAlignment="1">
      <alignment horizontal="center" vertical="center"/>
    </xf>
    <xf numFmtId="3" fontId="0" fillId="16" borderId="0" xfId="0" applyNumberFormat="1" applyFill="1" applyBorder="1" applyAlignment="1">
      <alignment horizontal="center" vertical="center"/>
    </xf>
    <xf numFmtId="3" fontId="0" fillId="12" borderId="0" xfId="0" applyNumberFormat="1" applyFont="1" applyFill="1" applyBorder="1" applyAlignment="1">
      <alignment horizontal="center" vertical="center"/>
    </xf>
    <xf numFmtId="3" fontId="0" fillId="16" borderId="11" xfId="0" applyNumberFormat="1" applyFill="1" applyBorder="1" applyAlignment="1">
      <alignment horizontal="center" vertical="center"/>
    </xf>
    <xf numFmtId="3" fontId="0" fillId="12" borderId="11" xfId="0" applyNumberFormat="1" applyFont="1" applyFill="1" applyBorder="1" applyAlignment="1">
      <alignment horizontal="center" vertical="center"/>
    </xf>
    <xf numFmtId="3" fontId="0" fillId="16" borderId="6" xfId="0" applyNumberFormat="1" applyFont="1" applyFill="1" applyBorder="1" applyAlignment="1">
      <alignment horizontal="center" vertical="center"/>
    </xf>
    <xf numFmtId="3" fontId="0" fillId="12" borderId="6" xfId="0" applyNumberFormat="1" applyFont="1" applyFill="1" applyBorder="1" applyAlignment="1">
      <alignment horizontal="center" vertical="center"/>
    </xf>
    <xf numFmtId="3" fontId="0" fillId="16" borderId="0" xfId="4" applyNumberFormat="1" applyFont="1" applyFill="1" applyBorder="1" applyAlignment="1">
      <alignment horizontal="center" vertical="center"/>
    </xf>
    <xf numFmtId="3" fontId="0" fillId="12" borderId="19" xfId="0" applyNumberFormat="1" applyFont="1" applyFill="1" applyBorder="1" applyAlignment="1">
      <alignment horizontal="center" vertical="center"/>
    </xf>
    <xf numFmtId="3" fontId="0" fillId="12" borderId="4" xfId="0" applyNumberFormat="1" applyFont="1" applyFill="1" applyBorder="1" applyAlignment="1">
      <alignment horizontal="center" vertical="center"/>
    </xf>
    <xf numFmtId="3" fontId="0" fillId="16" borderId="4" xfId="0" applyNumberFormat="1" applyFill="1" applyBorder="1" applyAlignment="1">
      <alignment horizontal="center" vertical="center"/>
    </xf>
    <xf numFmtId="3" fontId="0" fillId="16" borderId="20" xfId="0" applyNumberFormat="1" applyFill="1" applyBorder="1" applyAlignment="1">
      <alignment horizontal="center" vertical="center"/>
    </xf>
    <xf numFmtId="3" fontId="0" fillId="16" borderId="19" xfId="0" applyNumberFormat="1" applyFont="1" applyFill="1" applyBorder="1" applyAlignment="1">
      <alignment horizontal="center" vertical="center"/>
    </xf>
    <xf numFmtId="3" fontId="12" fillId="16" borderId="0" xfId="0" applyNumberFormat="1" applyFont="1" applyFill="1" applyBorder="1" applyAlignment="1">
      <alignment horizontal="center" vertical="center"/>
    </xf>
    <xf numFmtId="3" fontId="0" fillId="16" borderId="19" xfId="0" applyNumberFormat="1" applyFill="1" applyBorder="1" applyAlignment="1">
      <alignment horizontal="center" vertical="center"/>
    </xf>
    <xf numFmtId="3" fontId="12" fillId="16" borderId="4" xfId="0" applyNumberFormat="1" applyFont="1" applyFill="1" applyBorder="1" applyAlignment="1">
      <alignment horizontal="center" vertical="center"/>
    </xf>
    <xf numFmtId="3" fontId="12" fillId="16" borderId="6" xfId="0" applyNumberFormat="1" applyFont="1" applyFill="1" applyBorder="1" applyAlignment="1">
      <alignment horizontal="center" vertical="center"/>
    </xf>
    <xf numFmtId="3" fontId="12" fillId="16" borderId="19" xfId="0" applyNumberFormat="1" applyFont="1" applyFill="1" applyBorder="1" applyAlignment="1">
      <alignment horizontal="center" vertical="center"/>
    </xf>
    <xf numFmtId="3" fontId="0" fillId="12" borderId="0" xfId="0" applyNumberFormat="1" applyFill="1" applyBorder="1" applyAlignment="1">
      <alignment horizontal="center" vertical="center"/>
    </xf>
    <xf numFmtId="3" fontId="0" fillId="16" borderId="8" xfId="0" applyNumberFormat="1" applyFill="1" applyBorder="1" applyAlignment="1">
      <alignment horizontal="center" vertical="center"/>
    </xf>
    <xf numFmtId="3" fontId="12" fillId="16" borderId="9" xfId="0" applyNumberFormat="1" applyFont="1" applyFill="1" applyBorder="1" applyAlignment="1">
      <alignment horizontal="center" vertical="center"/>
    </xf>
    <xf numFmtId="3" fontId="0" fillId="16" borderId="0" xfId="0" applyNumberFormat="1" applyFont="1" applyFill="1" applyBorder="1" applyAlignment="1">
      <alignment horizontal="center" vertical="center"/>
    </xf>
    <xf numFmtId="3" fontId="2" fillId="0" borderId="0" xfId="0" applyNumberFormat="1" applyFont="1" applyFill="1" applyAlignment="1">
      <alignment horizontal="center" vertical="center"/>
    </xf>
    <xf numFmtId="3" fontId="31" fillId="0" borderId="0" xfId="6" applyNumberFormat="1" applyFont="1" applyFill="1" applyBorder="1" applyAlignment="1">
      <alignment horizontal="center" vertical="center"/>
    </xf>
    <xf numFmtId="3" fontId="29" fillId="0" borderId="0" xfId="3" applyNumberFormat="1" applyFont="1" applyFill="1" applyBorder="1" applyAlignment="1">
      <alignment horizontal="center" vertical="center"/>
    </xf>
    <xf numFmtId="3" fontId="0" fillId="16" borderId="23" xfId="0" applyNumberFormat="1" applyFill="1" applyBorder="1" applyAlignment="1">
      <alignment horizontal="center" vertical="center"/>
    </xf>
    <xf numFmtId="3" fontId="32" fillId="7" borderId="12" xfId="3" applyNumberFormat="1" applyFont="1" applyFill="1" applyBorder="1" applyAlignment="1">
      <alignment horizontal="center" vertical="center"/>
    </xf>
    <xf numFmtId="3" fontId="0" fillId="0" borderId="20"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2" fillId="0" borderId="11"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3" fontId="2" fillId="0" borderId="18"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4" fillId="3" borderId="15" xfId="0" applyNumberFormat="1" applyFont="1" applyFill="1" applyBorder="1"/>
    <xf numFmtId="3" fontId="3" fillId="0" borderId="0" xfId="0" applyNumberFormat="1" applyFont="1" applyFill="1" applyBorder="1" applyAlignment="1">
      <alignment horizontal="center" vertical="center"/>
    </xf>
    <xf numFmtId="3" fontId="4" fillId="0" borderId="0" xfId="0" applyNumberFormat="1" applyFont="1" applyFill="1" applyBorder="1"/>
    <xf numFmtId="3" fontId="3" fillId="0" borderId="31" xfId="0" applyNumberFormat="1" applyFont="1" applyFill="1" applyBorder="1" applyAlignment="1">
      <alignment horizontal="center" vertical="center"/>
    </xf>
    <xf numFmtId="3" fontId="3" fillId="0" borderId="22"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0" fillId="0" borderId="31" xfId="0" applyNumberFormat="1" applyFill="1" applyBorder="1" applyAlignment="1">
      <alignment horizontal="center" vertical="center"/>
    </xf>
    <xf numFmtId="3" fontId="0" fillId="0" borderId="0" xfId="0" applyNumberFormat="1" applyBorder="1" applyAlignment="1">
      <alignment horizontal="center" vertical="center"/>
    </xf>
    <xf numFmtId="3" fontId="27" fillId="0" borderId="0" xfId="6" applyNumberFormat="1" applyFont="1" applyFill="1" applyBorder="1" applyAlignment="1">
      <alignment horizontal="center" vertical="center"/>
    </xf>
    <xf numFmtId="3" fontId="29" fillId="0" borderId="0" xfId="0" applyNumberFormat="1" applyFont="1" applyFill="1" applyBorder="1" applyAlignment="1" applyProtection="1">
      <alignment horizontal="center" vertical="center"/>
    </xf>
    <xf numFmtId="3" fontId="0" fillId="0" borderId="0" xfId="4" applyNumberFormat="1" applyFont="1" applyFill="1" applyBorder="1" applyAlignment="1">
      <alignment horizontal="center" vertical="center"/>
    </xf>
    <xf numFmtId="3" fontId="30" fillId="0" borderId="0" xfId="6" applyNumberFormat="1" applyFont="1" applyFill="1" applyBorder="1" applyAlignment="1">
      <alignment horizontal="center" vertical="center"/>
    </xf>
    <xf numFmtId="3" fontId="3" fillId="0" borderId="0" xfId="6"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3" fontId="18" fillId="0" borderId="4" xfId="0" applyNumberFormat="1" applyFont="1" applyFill="1" applyBorder="1" applyAlignment="1">
      <alignment horizontal="center" vertical="center"/>
    </xf>
    <xf numFmtId="3" fontId="24" fillId="0" borderId="0" xfId="0" applyNumberFormat="1" applyFont="1" applyFill="1" applyBorder="1" applyAlignment="1" applyProtection="1">
      <alignment horizontal="center" vertical="center"/>
    </xf>
    <xf numFmtId="3" fontId="0" fillId="0" borderId="4" xfId="0" applyNumberFormat="1" applyFont="1" applyFill="1" applyBorder="1" applyAlignment="1">
      <alignment horizontal="center" vertical="center"/>
    </xf>
    <xf numFmtId="3" fontId="4" fillId="0" borderId="31" xfId="0" applyNumberFormat="1" applyFont="1" applyFill="1" applyBorder="1" applyAlignment="1">
      <alignment horizontal="center" vertical="center"/>
    </xf>
    <xf numFmtId="3" fontId="0" fillId="0" borderId="22" xfId="0" applyNumberFormat="1" applyFill="1" applyBorder="1" applyAlignment="1">
      <alignment horizontal="center" vertical="center"/>
    </xf>
    <xf numFmtId="0" fontId="2" fillId="9" borderId="11" xfId="0" applyFont="1" applyFill="1" applyBorder="1" applyAlignment="1">
      <alignment horizontal="center" vertical="center"/>
    </xf>
    <xf numFmtId="0" fontId="2" fillId="9" borderId="34" xfId="0" applyFont="1" applyFill="1" applyBorder="1" applyAlignment="1">
      <alignment horizontal="center" vertical="center"/>
    </xf>
    <xf numFmtId="0" fontId="2" fillId="9" borderId="31" xfId="0" applyFont="1" applyFill="1" applyBorder="1" applyAlignment="1">
      <alignment horizontal="center" vertical="center"/>
    </xf>
    <xf numFmtId="0" fontId="0" fillId="9" borderId="0" xfId="0" applyFont="1" applyFill="1" applyBorder="1" applyAlignment="1">
      <alignment horizontal="center" vertical="center"/>
    </xf>
    <xf numFmtId="0" fontId="0" fillId="9" borderId="20" xfId="0" applyFont="1" applyFill="1" applyBorder="1" applyAlignment="1">
      <alignment horizontal="center" vertical="center"/>
    </xf>
    <xf numFmtId="3" fontId="3" fillId="3" borderId="14" xfId="0" applyNumberFormat="1" applyFont="1" applyFill="1" applyBorder="1" applyAlignment="1">
      <alignment horizontal="center" vertical="center"/>
    </xf>
    <xf numFmtId="165" fontId="0" fillId="0" borderId="0" xfId="3" applyNumberFormat="1" applyFont="1" applyFill="1" applyAlignment="1">
      <alignment horizontal="center" vertical="center"/>
    </xf>
    <xf numFmtId="165" fontId="32" fillId="7" borderId="12" xfId="3" applyNumberFormat="1" applyFont="1" applyFill="1" applyBorder="1" applyAlignment="1">
      <alignment horizontal="center" vertical="center"/>
    </xf>
    <xf numFmtId="165" fontId="32" fillId="7" borderId="13" xfId="3" applyNumberFormat="1" applyFont="1" applyFill="1" applyBorder="1" applyAlignment="1">
      <alignment horizontal="center" vertical="center"/>
    </xf>
    <xf numFmtId="165" fontId="0" fillId="0" borderId="20" xfId="3" applyNumberFormat="1" applyFont="1" applyFill="1" applyBorder="1" applyAlignment="1">
      <alignment horizontal="center" vertical="center"/>
    </xf>
    <xf numFmtId="165" fontId="0" fillId="0" borderId="0" xfId="0" applyNumberFormat="1" applyBorder="1" applyAlignment="1">
      <alignment horizontal="center" vertical="center"/>
    </xf>
    <xf numFmtId="165" fontId="25" fillId="0" borderId="0" xfId="5" applyNumberFormat="1" applyAlignment="1">
      <alignment horizontal="center" vertical="center"/>
    </xf>
    <xf numFmtId="165" fontId="24" fillId="0" borderId="0" xfId="0" applyNumberFormat="1" applyFont="1" applyFill="1" applyBorder="1" applyAlignment="1" applyProtection="1">
      <alignment horizontal="center" vertical="center"/>
    </xf>
    <xf numFmtId="165" fontId="0" fillId="0" borderId="0" xfId="0" applyNumberFormat="1" applyFill="1" applyBorder="1" applyAlignment="1" applyProtection="1">
      <alignment horizontal="center" vertical="center"/>
    </xf>
    <xf numFmtId="165" fontId="0" fillId="0" borderId="0" xfId="3" applyNumberFormat="1" applyFont="1" applyFill="1" applyBorder="1" applyAlignment="1" applyProtection="1">
      <alignment horizontal="center" vertical="center"/>
    </xf>
    <xf numFmtId="165" fontId="7" fillId="0" borderId="0" xfId="0" applyNumberFormat="1" applyFont="1" applyFill="1" applyBorder="1" applyAlignment="1">
      <alignment horizontal="center" vertical="center"/>
    </xf>
    <xf numFmtId="165" fontId="0" fillId="0" borderId="0" xfId="4" applyNumberFormat="1" applyFont="1" applyFill="1" applyBorder="1" applyAlignment="1">
      <alignment horizontal="center" vertical="center"/>
    </xf>
    <xf numFmtId="165" fontId="0" fillId="0" borderId="0" xfId="0" applyNumberFormat="1" applyFill="1" applyAlignment="1">
      <alignment horizontal="center" vertical="center"/>
    </xf>
    <xf numFmtId="165" fontId="32" fillId="7" borderId="13"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4" fillId="0" borderId="11" xfId="0" applyNumberFormat="1" applyFont="1" applyFill="1" applyBorder="1"/>
    <xf numFmtId="165" fontId="3" fillId="0" borderId="34" xfId="0" applyNumberFormat="1" applyFont="1" applyFill="1" applyBorder="1" applyAlignment="1">
      <alignment horizontal="center" vertical="center"/>
    </xf>
    <xf numFmtId="165" fontId="3" fillId="0" borderId="23" xfId="0" applyNumberFormat="1" applyFont="1" applyFill="1" applyBorder="1" applyAlignment="1">
      <alignment horizontal="center" vertical="center"/>
    </xf>
    <xf numFmtId="165" fontId="4" fillId="0" borderId="23" xfId="0" applyNumberFormat="1" applyFont="1" applyFill="1" applyBorder="1" applyAlignment="1">
      <alignment horizontal="center" vertical="center"/>
    </xf>
    <xf numFmtId="165" fontId="0" fillId="0" borderId="23" xfId="0" applyNumberFormat="1" applyFill="1" applyBorder="1" applyAlignment="1">
      <alignment horizontal="center" vertical="center"/>
    </xf>
    <xf numFmtId="165" fontId="3" fillId="0" borderId="31" xfId="0" applyNumberFormat="1" applyFont="1" applyFill="1" applyBorder="1" applyAlignment="1">
      <alignment horizontal="center" vertical="center"/>
    </xf>
    <xf numFmtId="165" fontId="0" fillId="0" borderId="22" xfId="0" applyNumberFormat="1" applyFill="1" applyBorder="1" applyAlignment="1">
      <alignment horizontal="center" vertical="center"/>
    </xf>
    <xf numFmtId="165" fontId="25" fillId="0" borderId="0" xfId="5" applyNumberFormat="1" applyBorder="1" applyAlignment="1">
      <alignment horizontal="center" vertical="center"/>
    </xf>
    <xf numFmtId="165" fontId="26" fillId="0" borderId="0" xfId="6" applyNumberFormat="1" applyFill="1" applyBorder="1" applyAlignment="1">
      <alignment horizontal="center" vertical="center"/>
    </xf>
    <xf numFmtId="165" fontId="28" fillId="0" borderId="0" xfId="3" applyNumberFormat="1" applyFont="1" applyFill="1" applyBorder="1" applyAlignment="1">
      <alignment horizontal="center" vertical="center"/>
    </xf>
    <xf numFmtId="165" fontId="4" fillId="0" borderId="0" xfId="6" applyNumberFormat="1" applyFont="1" applyFill="1" applyBorder="1" applyAlignment="1">
      <alignment horizontal="center" vertical="center"/>
    </xf>
    <xf numFmtId="165" fontId="31" fillId="0" borderId="0" xfId="3" applyNumberFormat="1" applyFont="1" applyFill="1" applyBorder="1" applyAlignment="1">
      <alignment horizontal="center" vertical="center"/>
    </xf>
    <xf numFmtId="165" fontId="32" fillId="7" borderId="12"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4" fillId="0" borderId="0" xfId="0" applyNumberFormat="1" applyFont="1" applyFill="1" applyBorder="1"/>
    <xf numFmtId="165" fontId="3" fillId="0" borderId="22" xfId="0" applyNumberFormat="1" applyFont="1" applyFill="1" applyBorder="1" applyAlignment="1">
      <alignment horizontal="center" vertical="center"/>
    </xf>
    <xf numFmtId="165" fontId="4" fillId="0" borderId="22" xfId="0" applyNumberFormat="1" applyFont="1" applyFill="1" applyBorder="1" applyAlignment="1">
      <alignment horizontal="center" vertical="center"/>
    </xf>
    <xf numFmtId="165" fontId="0" fillId="0" borderId="13" xfId="0" applyNumberFormat="1" applyFill="1" applyBorder="1" applyAlignment="1">
      <alignment horizontal="center" vertical="center"/>
    </xf>
    <xf numFmtId="165" fontId="11" fillId="0" borderId="0" xfId="0" applyNumberFormat="1" applyFont="1" applyFill="1" applyBorder="1" applyAlignment="1">
      <alignment horizontal="center" vertical="center"/>
    </xf>
    <xf numFmtId="165" fontId="0" fillId="0" borderId="12" xfId="3" applyNumberFormat="1" applyFont="1" applyFill="1" applyBorder="1" applyAlignment="1">
      <alignment horizontal="center" vertical="center"/>
    </xf>
    <xf numFmtId="165" fontId="2" fillId="0" borderId="22" xfId="3" applyNumberFormat="1" applyFont="1" applyFill="1" applyBorder="1" applyAlignment="1">
      <alignment horizontal="center" vertical="center"/>
    </xf>
    <xf numFmtId="165" fontId="2" fillId="0" borderId="9" xfId="3" applyNumberFormat="1" applyFont="1" applyFill="1" applyBorder="1" applyAlignment="1">
      <alignment horizontal="center" vertical="center"/>
    </xf>
    <xf numFmtId="173" fontId="0" fillId="0" borderId="0" xfId="0" applyNumberFormat="1" applyFill="1" applyAlignment="1">
      <alignment horizontal="center" vertical="center"/>
    </xf>
    <xf numFmtId="173" fontId="32" fillId="7" borderId="12" xfId="0" applyNumberFormat="1" applyFont="1" applyFill="1" applyBorder="1" applyAlignment="1">
      <alignment horizontal="center" vertical="center"/>
    </xf>
    <xf numFmtId="173" fontId="2" fillId="0" borderId="0" xfId="0" applyNumberFormat="1" applyFont="1" applyFill="1" applyBorder="1" applyAlignment="1">
      <alignment horizontal="center" vertical="center"/>
    </xf>
    <xf numFmtId="173" fontId="0" fillId="0" borderId="0" xfId="0" applyNumberFormat="1" applyFont="1" applyFill="1" applyBorder="1" applyAlignment="1">
      <alignment horizontal="center" vertical="center"/>
    </xf>
    <xf numFmtId="173" fontId="12" fillId="2" borderId="14" xfId="0" applyNumberFormat="1" applyFont="1" applyFill="1" applyBorder="1" applyAlignment="1">
      <alignment horizontal="center" vertical="center"/>
    </xf>
    <xf numFmtId="173" fontId="12" fillId="2" borderId="15" xfId="0" applyNumberFormat="1" applyFont="1" applyFill="1" applyBorder="1" applyAlignment="1">
      <alignment horizontal="center" vertical="center"/>
    </xf>
    <xf numFmtId="173" fontId="4" fillId="2" borderId="16" xfId="0" applyNumberFormat="1" applyFont="1" applyFill="1" applyBorder="1" applyAlignment="1">
      <alignment horizontal="center" vertical="center"/>
    </xf>
    <xf numFmtId="173" fontId="12" fillId="0" borderId="4" xfId="0" applyNumberFormat="1" applyFont="1" applyFill="1" applyBorder="1" applyAlignment="1">
      <alignment horizontal="center" vertical="center"/>
    </xf>
    <xf numFmtId="173" fontId="2" fillId="0" borderId="31" xfId="0" applyNumberFormat="1" applyFont="1" applyFill="1" applyBorder="1" applyAlignment="1">
      <alignment horizontal="center" vertical="center"/>
    </xf>
    <xf numFmtId="173" fontId="4" fillId="0" borderId="0" xfId="0" applyNumberFormat="1" applyFont="1" applyFill="1" applyBorder="1" applyAlignment="1">
      <alignment horizontal="center" vertical="center"/>
    </xf>
    <xf numFmtId="173" fontId="12" fillId="0" borderId="0" xfId="0" applyNumberFormat="1" applyFont="1" applyFill="1" applyBorder="1" applyAlignment="1">
      <alignment horizontal="center" vertical="center"/>
    </xf>
    <xf numFmtId="173" fontId="0" fillId="0" borderId="0" xfId="0" applyNumberFormat="1" applyFill="1" applyBorder="1" applyAlignment="1">
      <alignment horizontal="center" vertical="center"/>
    </xf>
    <xf numFmtId="173" fontId="0" fillId="0" borderId="4" xfId="0" applyNumberFormat="1" applyFill="1" applyBorder="1" applyAlignment="1">
      <alignment horizontal="center" vertical="center"/>
    </xf>
    <xf numFmtId="173" fontId="2" fillId="0" borderId="22" xfId="0" applyNumberFormat="1" applyFont="1" applyFill="1" applyBorder="1" applyAlignment="1">
      <alignment horizontal="center" vertical="center"/>
    </xf>
    <xf numFmtId="173" fontId="0" fillId="0" borderId="12" xfId="0" applyNumberFormat="1" applyFill="1" applyBorder="1" applyAlignment="1">
      <alignment horizontal="center" vertical="center"/>
    </xf>
    <xf numFmtId="173" fontId="11" fillId="0" borderId="0" xfId="0" applyNumberFormat="1" applyFont="1" applyFill="1" applyBorder="1" applyAlignment="1">
      <alignment horizontal="center" vertical="center"/>
    </xf>
    <xf numFmtId="173" fontId="25" fillId="0" borderId="0" xfId="5" applyNumberFormat="1" applyAlignment="1">
      <alignment horizontal="center" vertical="center"/>
    </xf>
    <xf numFmtId="1" fontId="2" fillId="0" borderId="12" xfId="0" applyNumberFormat="1" applyFont="1" applyFill="1" applyBorder="1" applyAlignment="1">
      <alignment horizontal="center" vertical="center"/>
    </xf>
    <xf numFmtId="173" fontId="0" fillId="0" borderId="46" xfId="0" applyNumberFormat="1" applyFill="1" applyBorder="1" applyAlignment="1">
      <alignment horizontal="center" vertical="center"/>
    </xf>
    <xf numFmtId="165" fontId="2" fillId="0" borderId="12" xfId="3"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173" fontId="2" fillId="0" borderId="12" xfId="0" applyNumberFormat="1" applyFont="1" applyFill="1" applyBorder="1" applyAlignment="1">
      <alignment horizontal="center" vertical="center"/>
    </xf>
    <xf numFmtId="165" fontId="2" fillId="0" borderId="12" xfId="0" applyNumberFormat="1" applyFont="1" applyFill="1" applyBorder="1" applyAlignment="1">
      <alignment horizontal="center" vertical="center"/>
    </xf>
    <xf numFmtId="3" fontId="0" fillId="0" borderId="7" xfId="0" applyNumberFormat="1" applyFill="1" applyBorder="1" applyAlignment="1">
      <alignment horizontal="center" vertical="center"/>
    </xf>
    <xf numFmtId="165" fontId="0" fillId="0" borderId="27" xfId="3" applyNumberFormat="1" applyFont="1" applyFill="1" applyBorder="1" applyAlignment="1">
      <alignment horizontal="center" vertical="center"/>
    </xf>
    <xf numFmtId="0" fontId="0" fillId="0" borderId="46" xfId="0" applyFill="1" applyBorder="1" applyAlignment="1">
      <alignment horizontal="center" vertical="center"/>
    </xf>
    <xf numFmtId="169" fontId="3" fillId="10" borderId="15" xfId="0" applyNumberFormat="1" applyFont="1" applyFill="1" applyBorder="1" applyAlignment="1">
      <alignment horizontal="center" vertical="center"/>
    </xf>
    <xf numFmtId="1" fontId="2" fillId="12" borderId="15" xfId="0" applyNumberFormat="1" applyFont="1" applyFill="1" applyBorder="1" applyAlignment="1">
      <alignment horizontal="center" vertical="center"/>
    </xf>
    <xf numFmtId="3" fontId="2" fillId="16" borderId="21" xfId="0" applyNumberFormat="1" applyFont="1" applyFill="1" applyBorder="1" applyAlignment="1">
      <alignment horizontal="center" vertical="center"/>
    </xf>
    <xf numFmtId="3" fontId="2" fillId="16" borderId="22" xfId="0" applyNumberFormat="1" applyFont="1" applyFill="1" applyBorder="1" applyAlignment="1">
      <alignment horizontal="center" vertical="center"/>
    </xf>
    <xf numFmtId="3" fontId="2" fillId="16" borderId="23" xfId="0" applyNumberFormat="1" applyFont="1" applyFill="1" applyBorder="1" applyAlignment="1">
      <alignment horizontal="center" vertical="center"/>
    </xf>
    <xf numFmtId="0" fontId="40" fillId="7" borderId="21" xfId="0" applyFont="1" applyFill="1" applyBorder="1" applyAlignment="1">
      <alignment vertical="center"/>
    </xf>
    <xf numFmtId="0" fontId="40" fillId="7" borderId="22" xfId="0" applyFont="1" applyFill="1" applyBorder="1" applyAlignment="1">
      <alignment vertical="center"/>
    </xf>
    <xf numFmtId="0" fontId="40" fillId="7" borderId="23" xfId="0" applyFont="1" applyFill="1" applyBorder="1" applyAlignment="1">
      <alignment vertical="center"/>
    </xf>
    <xf numFmtId="9" fontId="12" fillId="2" borderId="15" xfId="0" applyNumberFormat="1" applyFont="1" applyFill="1" applyBorder="1" applyAlignment="1">
      <alignment horizontal="center" vertical="center"/>
    </xf>
    <xf numFmtId="170" fontId="25" fillId="0" borderId="12" xfId="4" applyNumberFormat="1" applyFont="1" applyFill="1" applyBorder="1"/>
    <xf numFmtId="170" fontId="25" fillId="0" borderId="13" xfId="4" applyNumberFormat="1" applyFont="1" applyFill="1" applyBorder="1"/>
    <xf numFmtId="170" fontId="0" fillId="0" borderId="12" xfId="4" applyNumberFormat="1" applyFont="1" applyFill="1" applyBorder="1"/>
    <xf numFmtId="170" fontId="0" fillId="0" borderId="13" xfId="4" applyNumberFormat="1" applyFont="1" applyFill="1" applyBorder="1"/>
    <xf numFmtId="170" fontId="25" fillId="0" borderId="0" xfId="4" applyNumberFormat="1" applyFont="1"/>
    <xf numFmtId="165" fontId="0" fillId="0" borderId="11" xfId="0" applyNumberFormat="1" applyFill="1" applyBorder="1" applyAlignment="1">
      <alignment horizontal="center" vertical="center"/>
    </xf>
    <xf numFmtId="0" fontId="11" fillId="8" borderId="14" xfId="0" applyFont="1" applyFill="1" applyBorder="1" applyAlignment="1">
      <alignment horizontal="left" vertical="center"/>
    </xf>
    <xf numFmtId="0" fontId="10" fillId="8" borderId="16" xfId="1" applyFont="1" applyFill="1" applyBorder="1" applyAlignment="1">
      <alignment horizontal="left" vertical="center"/>
    </xf>
    <xf numFmtId="4" fontId="12" fillId="0" borderId="4" xfId="0" applyNumberFormat="1" applyFont="1" applyFill="1" applyBorder="1" applyAlignment="1">
      <alignment horizontal="center" vertical="center"/>
    </xf>
    <xf numFmtId="0" fontId="0" fillId="0" borderId="3" xfId="0" applyBorder="1"/>
    <xf numFmtId="0" fontId="0" fillId="0" borderId="3" xfId="0" applyFill="1" applyBorder="1"/>
    <xf numFmtId="0" fontId="2" fillId="0" borderId="0" xfId="0" applyFont="1" applyBorder="1"/>
    <xf numFmtId="0" fontId="0" fillId="0" borderId="0" xfId="0" applyBorder="1" applyAlignment="1">
      <alignment wrapText="1"/>
    </xf>
    <xf numFmtId="170" fontId="0" fillId="0" borderId="0" xfId="4" applyNumberFormat="1" applyFont="1" applyAlignment="1">
      <alignment horizontal="right"/>
    </xf>
    <xf numFmtId="9" fontId="0" fillId="0" borderId="3" xfId="0" applyNumberFormat="1" applyFont="1" applyFill="1" applyBorder="1" applyAlignment="1">
      <alignment horizontal="left" vertical="center"/>
    </xf>
    <xf numFmtId="9" fontId="0" fillId="0" borderId="3" xfId="0" applyNumberFormat="1" applyFont="1" applyFill="1" applyBorder="1" applyAlignment="1">
      <alignment horizontal="left" vertical="center" wrapText="1"/>
    </xf>
    <xf numFmtId="164" fontId="0" fillId="0" borderId="0" xfId="0" applyNumberFormat="1" applyBorder="1"/>
    <xf numFmtId="2" fontId="0" fillId="0" borderId="0" xfId="0" applyNumberFormat="1" applyFont="1" applyBorder="1"/>
    <xf numFmtId="2" fontId="0" fillId="0" borderId="0" xfId="0" applyNumberFormat="1" applyBorder="1" applyAlignment="1">
      <alignment wrapText="1"/>
    </xf>
    <xf numFmtId="2" fontId="0" fillId="0" borderId="0" xfId="0" applyNumberFormat="1" applyFont="1" applyFill="1" applyBorder="1" applyAlignment="1">
      <alignment horizontal="right" vertical="center"/>
    </xf>
    <xf numFmtId="3" fontId="0" fillId="0" borderId="2" xfId="0" applyNumberFormat="1" applyBorder="1"/>
    <xf numFmtId="3" fontId="0" fillId="0" borderId="0" xfId="0" applyNumberFormat="1" applyBorder="1"/>
    <xf numFmtId="170" fontId="0" fillId="0" borderId="0" xfId="4" applyNumberFormat="1" applyFont="1" applyBorder="1" applyAlignment="1">
      <alignment horizontal="right"/>
    </xf>
    <xf numFmtId="164" fontId="0" fillId="0" borderId="0" xfId="0" applyNumberFormat="1" applyFill="1" applyBorder="1"/>
    <xf numFmtId="0" fontId="0" fillId="0" borderId="0" xfId="0" applyFill="1" applyBorder="1" applyAlignment="1">
      <alignment wrapText="1"/>
    </xf>
    <xf numFmtId="0" fontId="25" fillId="0" borderId="0" xfId="5"/>
    <xf numFmtId="0" fontId="2" fillId="0" borderId="0" xfId="0" applyFont="1" applyBorder="1" applyAlignment="1">
      <alignment horizontal="center" vertical="center" wrapText="1"/>
    </xf>
    <xf numFmtId="0" fontId="25" fillId="0" borderId="0" xfId="5"/>
    <xf numFmtId="9" fontId="0" fillId="2" borderId="14" xfId="3" applyFont="1" applyFill="1" applyBorder="1" applyAlignment="1">
      <alignment horizontal="center" vertical="center"/>
    </xf>
    <xf numFmtId="9" fontId="0" fillId="2" borderId="15" xfId="3" applyFont="1" applyFill="1" applyBorder="1" applyAlignment="1">
      <alignment horizontal="center" vertical="center"/>
    </xf>
    <xf numFmtId="9" fontId="0" fillId="2" borderId="16" xfId="3" applyFont="1" applyFill="1" applyBorder="1" applyAlignment="1">
      <alignment horizontal="center" vertical="center"/>
    </xf>
    <xf numFmtId="0" fontId="25" fillId="0" borderId="0" xfId="5" applyFont="1"/>
    <xf numFmtId="0" fontId="41" fillId="0" borderId="0" xfId="0" applyFont="1"/>
    <xf numFmtId="0" fontId="0" fillId="0" borderId="0" xfId="0"/>
    <xf numFmtId="9" fontId="0" fillId="0" borderId="8" xfId="0" applyNumberFormat="1" applyFill="1" applyBorder="1" applyAlignment="1">
      <alignment horizontal="center" vertical="center"/>
    </xf>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0" fillId="0" borderId="33" xfId="0" applyFill="1" applyBorder="1" applyAlignment="1">
      <alignment horizontal="center" vertical="center"/>
    </xf>
    <xf numFmtId="0" fontId="0" fillId="0" borderId="0" xfId="0"/>
    <xf numFmtId="3" fontId="0" fillId="16" borderId="0" xfId="0" applyNumberFormat="1" applyFill="1" applyAlignment="1">
      <alignment horizontal="center" vertical="center"/>
    </xf>
    <xf numFmtId="3" fontId="0" fillId="16" borderId="4" xfId="0" applyNumberFormat="1" applyFont="1" applyFill="1" applyBorder="1" applyAlignment="1">
      <alignment horizontal="center" vertical="center"/>
    </xf>
    <xf numFmtId="0" fontId="25" fillId="0" borderId="0" xfId="5"/>
    <xf numFmtId="165" fontId="0" fillId="0" borderId="11" xfId="0" applyNumberFormat="1" applyFill="1" applyBorder="1" applyAlignment="1">
      <alignment horizontal="center" vertical="center"/>
    </xf>
    <xf numFmtId="0" fontId="0" fillId="0" borderId="0" xfId="0"/>
    <xf numFmtId="0" fontId="42" fillId="0" borderId="0" xfId="0" applyFont="1" applyAlignment="1">
      <alignment horizontal="center" vertical="center" readingOrder="1"/>
    </xf>
    <xf numFmtId="1" fontId="25" fillId="0" borderId="11" xfId="5" applyNumberFormat="1" applyFont="1" applyBorder="1"/>
    <xf numFmtId="0" fontId="0" fillId="0" borderId="0" xfId="0" applyFont="1"/>
    <xf numFmtId="168" fontId="0" fillId="0" borderId="0" xfId="0" applyNumberFormat="1" applyFont="1"/>
    <xf numFmtId="0" fontId="2" fillId="0" borderId="0" xfId="0" applyFont="1" applyFill="1"/>
    <xf numFmtId="9" fontId="21" fillId="2" borderId="28" xfId="2" applyNumberFormat="1" applyFill="1" applyBorder="1" applyAlignment="1">
      <alignment horizontal="center" vertical="center"/>
    </xf>
    <xf numFmtId="168" fontId="0" fillId="0" borderId="0" xfId="0" applyNumberFormat="1" applyFill="1"/>
    <xf numFmtId="9" fontId="0" fillId="6" borderId="25"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xf>
    <xf numFmtId="3" fontId="2" fillId="16" borderId="15" xfId="0" applyNumberFormat="1" applyFont="1" applyFill="1" applyBorder="1" applyAlignment="1">
      <alignment horizontal="center" vertical="center"/>
    </xf>
    <xf numFmtId="3" fontId="0" fillId="12" borderId="4" xfId="0" applyNumberFormat="1" applyFill="1" applyBorder="1" applyAlignment="1">
      <alignment horizontal="center" vertical="center"/>
    </xf>
    <xf numFmtId="170" fontId="4" fillId="0" borderId="0" xfId="4" applyNumberFormat="1" applyFont="1" applyFill="1" applyBorder="1" applyAlignment="1">
      <alignment horizontal="center" vertical="center"/>
    </xf>
    <xf numFmtId="164" fontId="4" fillId="0" borderId="0" xfId="4" applyFont="1" applyFill="1" applyBorder="1"/>
    <xf numFmtId="165" fontId="0" fillId="0" borderId="11" xfId="0" applyNumberFormat="1" applyFill="1" applyBorder="1" applyAlignment="1">
      <alignment horizontal="center" vertical="center"/>
    </xf>
    <xf numFmtId="9" fontId="43" fillId="0" borderId="6" xfId="0" applyNumberFormat="1" applyFont="1" applyFill="1" applyBorder="1" applyAlignment="1">
      <alignment horizontal="center" vertical="center"/>
    </xf>
    <xf numFmtId="3" fontId="43" fillId="0" borderId="0" xfId="0" applyNumberFormat="1" applyFont="1" applyFill="1" applyBorder="1" applyAlignment="1">
      <alignment horizontal="center" vertical="center"/>
    </xf>
    <xf numFmtId="165" fontId="43" fillId="0" borderId="0" xfId="0" applyNumberFormat="1" applyFont="1" applyFill="1" applyBorder="1" applyAlignment="1">
      <alignment horizontal="center" vertical="center"/>
    </xf>
    <xf numFmtId="165" fontId="43" fillId="0" borderId="11" xfId="3" applyNumberFormat="1" applyFont="1" applyFill="1" applyBorder="1" applyAlignment="1">
      <alignment horizontal="center" vertical="center"/>
    </xf>
    <xf numFmtId="0" fontId="43" fillId="0" borderId="6" xfId="0" applyFont="1" applyFill="1" applyBorder="1" applyAlignment="1">
      <alignment horizontal="center" vertical="center"/>
    </xf>
    <xf numFmtId="9" fontId="43" fillId="0" borderId="0" xfId="0" applyNumberFormat="1" applyFont="1" applyFill="1" applyBorder="1" applyAlignment="1">
      <alignment horizontal="center" vertical="center"/>
    </xf>
    <xf numFmtId="0" fontId="43" fillId="0" borderId="0" xfId="0" applyFont="1" applyFill="1" applyAlignment="1">
      <alignment horizontal="center" vertical="center"/>
    </xf>
    <xf numFmtId="165" fontId="43" fillId="0" borderId="0" xfId="3" applyNumberFormat="1" applyFont="1" applyFill="1" applyBorder="1" applyAlignment="1">
      <alignment horizontal="center" vertical="center"/>
    </xf>
    <xf numFmtId="4" fontId="4" fillId="2" borderId="16" xfId="0" applyNumberFormat="1" applyFont="1" applyFill="1" applyBorder="1" applyAlignment="1">
      <alignment horizontal="center" vertical="center"/>
    </xf>
    <xf numFmtId="0" fontId="0" fillId="0" borderId="0" xfId="0"/>
    <xf numFmtId="1" fontId="33" fillId="7" borderId="8" xfId="0" applyNumberFormat="1" applyFont="1" applyFill="1" applyBorder="1" applyAlignment="1">
      <alignment horizontal="center" vertical="center"/>
    </xf>
    <xf numFmtId="1" fontId="33" fillId="7" borderId="9" xfId="0" applyNumberFormat="1" applyFont="1" applyFill="1" applyBorder="1" applyAlignment="1">
      <alignment horizontal="center" vertical="center"/>
    </xf>
    <xf numFmtId="1" fontId="33" fillId="7" borderId="10" xfId="0" applyNumberFormat="1" applyFont="1" applyFill="1" applyBorder="1" applyAlignment="1">
      <alignment horizontal="center" vertical="center"/>
    </xf>
    <xf numFmtId="1" fontId="32" fillId="7" borderId="7" xfId="0" applyNumberFormat="1" applyFont="1" applyFill="1" applyBorder="1" applyAlignment="1">
      <alignment horizontal="center"/>
    </xf>
    <xf numFmtId="1" fontId="32" fillId="7" borderId="12" xfId="0" applyNumberFormat="1" applyFont="1" applyFill="1" applyBorder="1" applyAlignment="1">
      <alignment horizontal="center"/>
    </xf>
    <xf numFmtId="1" fontId="32" fillId="7" borderId="13" xfId="0" applyNumberFormat="1" applyFont="1" applyFill="1" applyBorder="1" applyAlignment="1">
      <alignment horizontal="center"/>
    </xf>
    <xf numFmtId="0" fontId="33" fillId="7" borderId="8" xfId="0" applyFont="1" applyFill="1" applyBorder="1" applyAlignment="1">
      <alignment horizontal="center" vertical="center" wrapText="1"/>
    </xf>
    <xf numFmtId="0" fontId="0" fillId="0" borderId="0" xfId="0"/>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25" fillId="0" borderId="0" xfId="5"/>
    <xf numFmtId="0" fontId="0" fillId="0" borderId="0" xfId="0"/>
    <xf numFmtId="0" fontId="10" fillId="3" borderId="47" xfId="0" applyFont="1" applyFill="1" applyBorder="1"/>
    <xf numFmtId="9" fontId="25" fillId="0" borderId="7" xfId="3" applyFont="1" applyFill="1" applyBorder="1"/>
    <xf numFmtId="9" fontId="25" fillId="0" borderId="12" xfId="3" applyFont="1" applyFill="1" applyBorder="1"/>
    <xf numFmtId="9" fontId="25" fillId="0" borderId="13" xfId="3" applyFont="1" applyFill="1" applyBorder="1"/>
    <xf numFmtId="9" fontId="25" fillId="0" borderId="7" xfId="3" applyFont="1" applyBorder="1"/>
    <xf numFmtId="9" fontId="25" fillId="0" borderId="12" xfId="3" applyFont="1" applyBorder="1"/>
    <xf numFmtId="9" fontId="25" fillId="0" borderId="13" xfId="3" applyFont="1" applyBorder="1"/>
    <xf numFmtId="9" fontId="25" fillId="0" borderId="21" xfId="3" applyFont="1" applyBorder="1"/>
    <xf numFmtId="9" fontId="25" fillId="0" borderId="22" xfId="3" applyFont="1" applyBorder="1"/>
    <xf numFmtId="9" fontId="25" fillId="0" borderId="23" xfId="3" applyFont="1" applyBorder="1"/>
    <xf numFmtId="169" fontId="0" fillId="0" borderId="0" xfId="0" applyNumberFormat="1" applyBorder="1"/>
    <xf numFmtId="1" fontId="36" fillId="0" borderId="0" xfId="0" applyNumberFormat="1" applyFont="1" applyFill="1" applyBorder="1" applyAlignment="1">
      <alignment horizontal="center"/>
    </xf>
    <xf numFmtId="1" fontId="35" fillId="0" borderId="31" xfId="0" applyNumberFormat="1" applyFont="1" applyFill="1" applyBorder="1" applyAlignment="1">
      <alignment horizontal="center"/>
    </xf>
    <xf numFmtId="1" fontId="36" fillId="0" borderId="4" xfId="0" applyNumberFormat="1" applyFont="1" applyFill="1" applyBorder="1" applyAlignment="1">
      <alignment horizontal="center"/>
    </xf>
    <xf numFmtId="3" fontId="2" fillId="0" borderId="22" xfId="0" applyNumberFormat="1" applyFont="1" applyFill="1" applyBorder="1" applyAlignment="1">
      <alignment horizontal="center" vertical="center"/>
    </xf>
    <xf numFmtId="1" fontId="36" fillId="0" borderId="0" xfId="0" applyNumberFormat="1" applyFont="1" applyFill="1" applyBorder="1" applyAlignment="1">
      <alignment horizontal="center"/>
    </xf>
    <xf numFmtId="1" fontId="35" fillId="0" borderId="31" xfId="0" applyNumberFormat="1" applyFont="1" applyFill="1" applyBorder="1" applyAlignment="1">
      <alignment horizontal="center"/>
    </xf>
    <xf numFmtId="1" fontId="36" fillId="0" borderId="4" xfId="0" applyNumberFormat="1" applyFont="1" applyFill="1" applyBorder="1" applyAlignment="1">
      <alignment horizontal="center"/>
    </xf>
    <xf numFmtId="3" fontId="2" fillId="0" borderId="22" xfId="0" applyNumberFormat="1" applyFont="1" applyFill="1" applyBorder="1" applyAlignment="1">
      <alignment horizontal="center" vertical="center"/>
    </xf>
    <xf numFmtId="1" fontId="36" fillId="0" borderId="0" xfId="0" applyNumberFormat="1" applyFont="1" applyFill="1" applyBorder="1" applyAlignment="1">
      <alignment horizontal="center"/>
    </xf>
    <xf numFmtId="1" fontId="35" fillId="0" borderId="31" xfId="0" applyNumberFormat="1" applyFont="1" applyFill="1" applyBorder="1" applyAlignment="1">
      <alignment horizontal="center"/>
    </xf>
    <xf numFmtId="1" fontId="36" fillId="0" borderId="4" xfId="0" applyNumberFormat="1" applyFont="1" applyFill="1" applyBorder="1" applyAlignment="1">
      <alignment horizontal="center"/>
    </xf>
    <xf numFmtId="1" fontId="35" fillId="0" borderId="22" xfId="0" applyNumberFormat="1" applyFont="1" applyFill="1" applyBorder="1" applyAlignment="1">
      <alignment horizontal="center"/>
    </xf>
    <xf numFmtId="0" fontId="0" fillId="0" borderId="0" xfId="0"/>
    <xf numFmtId="0" fontId="0" fillId="0" borderId="0" xfId="0" applyAlignment="1">
      <alignment horizontal="center" vertical="center"/>
    </xf>
    <xf numFmtId="0" fontId="0" fillId="13" borderId="0" xfId="0" applyFill="1" applyAlignment="1">
      <alignment horizontal="center" vertical="center"/>
    </xf>
    <xf numFmtId="0" fontId="38" fillId="0" borderId="0" xfId="1" applyFont="1" applyFill="1" applyBorder="1" applyAlignment="1">
      <alignment horizontal="center" vertical="center"/>
    </xf>
    <xf numFmtId="0" fontId="25" fillId="0" borderId="0" xfId="5" applyFill="1" applyAlignment="1">
      <alignment horizontal="center" vertical="center"/>
    </xf>
    <xf numFmtId="0" fontId="2" fillId="11" borderId="21" xfId="0" applyFont="1" applyFill="1" applyBorder="1" applyAlignment="1">
      <alignment horizontal="center" vertical="center"/>
    </xf>
    <xf numFmtId="9" fontId="2" fillId="11" borderId="22" xfId="3" applyFont="1" applyFill="1" applyBorder="1" applyAlignment="1">
      <alignment horizontal="center" vertical="center"/>
    </xf>
    <xf numFmtId="0" fontId="2" fillId="11" borderId="22" xfId="0" applyFont="1" applyFill="1" applyBorder="1" applyAlignment="1">
      <alignment horizontal="center" vertical="center"/>
    </xf>
    <xf numFmtId="0" fontId="2" fillId="11" borderId="23" xfId="0" applyFont="1" applyFill="1" applyBorder="1" applyAlignment="1">
      <alignment horizontal="center" vertical="center"/>
    </xf>
    <xf numFmtId="9" fontId="0" fillId="0" borderId="0" xfId="3" applyFont="1" applyAlignment="1">
      <alignment horizontal="center" vertical="center"/>
    </xf>
    <xf numFmtId="0" fontId="0" fillId="0" borderId="8" xfId="0" applyBorder="1" applyAlignment="1">
      <alignment horizontal="center" vertical="center"/>
    </xf>
    <xf numFmtId="1" fontId="0" fillId="0" borderId="9" xfId="0" applyNumberForma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7" xfId="0" applyFill="1" applyBorder="1" applyAlignment="1">
      <alignment horizontal="center" vertical="center"/>
    </xf>
    <xf numFmtId="10" fontId="0" fillId="0" borderId="12" xfId="3" applyNumberFormat="1" applyFont="1" applyBorder="1" applyAlignment="1">
      <alignment horizontal="center" vertical="center"/>
    </xf>
    <xf numFmtId="10" fontId="0" fillId="0" borderId="13" xfId="3" applyNumberFormat="1" applyFont="1" applyBorder="1" applyAlignment="1">
      <alignment horizontal="center" vertical="center"/>
    </xf>
    <xf numFmtId="9" fontId="0" fillId="13" borderId="0" xfId="3" applyFont="1" applyFill="1" applyAlignment="1">
      <alignment horizontal="center" vertical="center"/>
    </xf>
    <xf numFmtId="0" fontId="0" fillId="24" borderId="8" xfId="0" applyFill="1" applyBorder="1" applyAlignment="1">
      <alignment horizontal="center" vertical="center"/>
    </xf>
    <xf numFmtId="0" fontId="0" fillId="24" borderId="22" xfId="0" applyFill="1" applyBorder="1" applyAlignment="1">
      <alignment horizontal="center" vertical="center"/>
    </xf>
    <xf numFmtId="0" fontId="31" fillId="24" borderId="22" xfId="0" applyFont="1" applyFill="1" applyBorder="1" applyAlignment="1">
      <alignment horizontal="center" vertical="center"/>
    </xf>
    <xf numFmtId="0" fontId="31" fillId="24" borderId="10" xfId="0" applyFont="1" applyFill="1" applyBorder="1" applyAlignment="1">
      <alignment horizontal="center" vertical="center"/>
    </xf>
    <xf numFmtId="0" fontId="0" fillId="24" borderId="15" xfId="0" applyFill="1" applyBorder="1" applyAlignment="1">
      <alignment horizontal="center" vertical="center"/>
    </xf>
    <xf numFmtId="0" fontId="0" fillId="0" borderId="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Font="1" applyBorder="1" applyAlignment="1">
      <alignment horizontal="center" vertical="center"/>
    </xf>
    <xf numFmtId="0" fontId="14" fillId="3" borderId="6" xfId="0" applyFont="1" applyFill="1" applyBorder="1" applyAlignment="1">
      <alignment horizontal="center" vertical="center"/>
    </xf>
    <xf numFmtId="0" fontId="0" fillId="0" borderId="11" xfId="0" applyBorder="1" applyAlignment="1">
      <alignment horizontal="center" vertical="center"/>
    </xf>
    <xf numFmtId="9" fontId="14" fillId="3" borderId="6" xfId="0" applyNumberFormat="1" applyFont="1" applyFill="1" applyBorder="1" applyAlignment="1">
      <alignment horizontal="center" vertical="center"/>
    </xf>
    <xf numFmtId="170" fontId="0" fillId="0" borderId="9" xfId="4" applyNumberFormat="1" applyFont="1" applyBorder="1" applyAlignment="1">
      <alignment horizontal="center" vertical="center"/>
    </xf>
    <xf numFmtId="170" fontId="0" fillId="0" borderId="10" xfId="4" applyNumberFormat="1" applyFont="1" applyBorder="1" applyAlignment="1">
      <alignment horizontal="center" vertical="center"/>
    </xf>
    <xf numFmtId="170" fontId="0" fillId="0" borderId="0" xfId="4" applyNumberFormat="1" applyFont="1" applyBorder="1" applyAlignment="1">
      <alignment horizontal="center" vertical="center"/>
    </xf>
    <xf numFmtId="170" fontId="0" fillId="0" borderId="11" xfId="4" applyNumberFormat="1" applyFont="1" applyBorder="1" applyAlignment="1">
      <alignment horizontal="center" vertical="center"/>
    </xf>
    <xf numFmtId="0" fontId="0" fillId="3" borderId="50" xfId="0" applyFill="1" applyBorder="1" applyAlignment="1">
      <alignment horizontal="center" vertical="center"/>
    </xf>
    <xf numFmtId="0" fontId="14" fillId="3" borderId="50" xfId="0" applyFont="1" applyFill="1" applyBorder="1" applyAlignment="1">
      <alignment horizontal="center" vertical="center"/>
    </xf>
    <xf numFmtId="170" fontId="0" fillId="0" borderId="49" xfId="4" applyNumberFormat="1" applyFont="1" applyBorder="1" applyAlignment="1">
      <alignment horizontal="center" vertical="center"/>
    </xf>
    <xf numFmtId="0" fontId="11" fillId="3" borderId="7" xfId="0" applyFont="1" applyFill="1" applyBorder="1" applyAlignment="1">
      <alignment horizontal="center" vertical="center"/>
    </xf>
    <xf numFmtId="170" fontId="0" fillId="0" borderId="12" xfId="4" applyNumberFormat="1" applyFont="1" applyBorder="1" applyAlignment="1">
      <alignment horizontal="center" vertical="center"/>
    </xf>
    <xf numFmtId="170" fontId="0" fillId="0" borderId="13" xfId="4" applyNumberFormat="1" applyFont="1" applyBorder="1" applyAlignment="1">
      <alignment horizontal="center" vertical="center"/>
    </xf>
    <xf numFmtId="9" fontId="14" fillId="3" borderId="8" xfId="0" applyNumberFormat="1" applyFont="1" applyFill="1" applyBorder="1" applyAlignment="1">
      <alignment horizontal="center" vertical="center"/>
    </xf>
    <xf numFmtId="0" fontId="14" fillId="3" borderId="8" xfId="0" applyFont="1" applyFill="1" applyBorder="1" applyAlignment="1">
      <alignment horizontal="center" vertical="center"/>
    </xf>
    <xf numFmtId="170" fontId="44" fillId="0" borderId="0" xfId="4" applyNumberFormat="1" applyFont="1" applyFill="1" applyBorder="1" applyAlignment="1">
      <alignment horizontal="center" vertical="center"/>
    </xf>
    <xf numFmtId="170" fontId="44" fillId="0" borderId="11" xfId="4" applyNumberFormat="1" applyFont="1" applyFill="1" applyBorder="1" applyAlignment="1">
      <alignment horizontal="center" vertical="center"/>
    </xf>
    <xf numFmtId="0" fontId="25" fillId="0" borderId="11" xfId="5" applyBorder="1" applyAlignment="1">
      <alignment horizontal="center" vertical="center"/>
    </xf>
    <xf numFmtId="0" fontId="0" fillId="3" borderId="6" xfId="0" applyFill="1" applyBorder="1" applyAlignment="1">
      <alignment horizontal="center" vertical="center"/>
    </xf>
    <xf numFmtId="0" fontId="25" fillId="0" borderId="49" xfId="5" applyBorder="1" applyAlignment="1">
      <alignment horizontal="center" vertical="center"/>
    </xf>
    <xf numFmtId="0" fontId="25" fillId="0" borderId="48" xfId="5" applyBorder="1" applyAlignment="1">
      <alignment horizontal="center" vertical="center"/>
    </xf>
    <xf numFmtId="0" fontId="25" fillId="0" borderId="0" xfId="5" applyFill="1" applyBorder="1" applyAlignment="1">
      <alignment horizontal="center" vertical="center"/>
    </xf>
    <xf numFmtId="10" fontId="0" fillId="0" borderId="9" xfId="4" applyNumberFormat="1" applyFont="1" applyFill="1" applyBorder="1" applyAlignment="1">
      <alignment horizontal="center" vertical="center"/>
    </xf>
    <xf numFmtId="10" fontId="0" fillId="0" borderId="10" xfId="4" applyNumberFormat="1" applyFont="1" applyFill="1" applyBorder="1" applyAlignment="1">
      <alignment horizontal="center" vertical="center"/>
    </xf>
    <xf numFmtId="10" fontId="0" fillId="0" borderId="0" xfId="4" applyNumberFormat="1" applyFont="1" applyFill="1" applyBorder="1" applyAlignment="1">
      <alignment horizontal="center" vertical="center"/>
    </xf>
    <xf numFmtId="10" fontId="0" fillId="0" borderId="11" xfId="4" applyNumberFormat="1" applyFont="1" applyFill="1" applyBorder="1" applyAlignment="1">
      <alignment horizontal="center" vertical="center"/>
    </xf>
    <xf numFmtId="10" fontId="4" fillId="0" borderId="0" xfId="4" applyNumberFormat="1" applyFont="1" applyFill="1" applyBorder="1" applyAlignment="1">
      <alignment horizontal="center" vertical="center"/>
    </xf>
    <xf numFmtId="10" fontId="4" fillId="0" borderId="11" xfId="4" applyNumberFormat="1" applyFont="1" applyFill="1" applyBorder="1" applyAlignment="1">
      <alignment horizontal="center" vertical="center"/>
    </xf>
    <xf numFmtId="10" fontId="44" fillId="0" borderId="0" xfId="3" applyNumberFormat="1" applyFont="1" applyBorder="1" applyAlignment="1">
      <alignment horizontal="center" vertical="center"/>
    </xf>
    <xf numFmtId="10" fontId="44" fillId="0" borderId="11" xfId="3" applyNumberFormat="1" applyFont="1" applyBorder="1" applyAlignment="1">
      <alignment horizontal="center" vertical="center"/>
    </xf>
    <xf numFmtId="10" fontId="44" fillId="0" borderId="0" xfId="4" applyNumberFormat="1" applyFont="1" applyFill="1" applyBorder="1" applyAlignment="1">
      <alignment horizontal="center" vertical="center"/>
    </xf>
    <xf numFmtId="10" fontId="44" fillId="0" borderId="11" xfId="4" applyNumberFormat="1" applyFont="1" applyFill="1" applyBorder="1" applyAlignment="1">
      <alignment horizontal="center" vertical="center"/>
    </xf>
    <xf numFmtId="10" fontId="0" fillId="0" borderId="0" xfId="3" applyNumberFormat="1" applyFont="1" applyBorder="1" applyAlignment="1">
      <alignment horizontal="center" vertical="center"/>
    </xf>
    <xf numFmtId="10" fontId="0" fillId="0" borderId="11" xfId="3" applyNumberFormat="1" applyFont="1" applyBorder="1" applyAlignment="1">
      <alignment horizontal="center" vertical="center"/>
    </xf>
    <xf numFmtId="10" fontId="44" fillId="0" borderId="49" xfId="4" applyNumberFormat="1" applyFont="1" applyFill="1" applyBorder="1" applyAlignment="1">
      <alignment horizontal="center" vertical="center"/>
    </xf>
    <xf numFmtId="10" fontId="44" fillId="0" borderId="48" xfId="4" applyNumberFormat="1" applyFont="1" applyFill="1" applyBorder="1" applyAlignment="1">
      <alignment horizontal="center" vertical="center"/>
    </xf>
    <xf numFmtId="0" fontId="25" fillId="0" borderId="12" xfId="5" applyBorder="1" applyAlignment="1">
      <alignment horizontal="center" vertical="center"/>
    </xf>
    <xf numFmtId="0" fontId="25" fillId="0" borderId="13" xfId="5" applyBorder="1" applyAlignment="1">
      <alignment horizontal="center" vertical="center"/>
    </xf>
    <xf numFmtId="10" fontId="0" fillId="0" borderId="12" xfId="4" applyNumberFormat="1" applyFont="1" applyBorder="1" applyAlignment="1">
      <alignment horizontal="center" vertical="center"/>
    </xf>
    <xf numFmtId="10" fontId="0" fillId="0" borderId="13" xfId="4" applyNumberFormat="1" applyFont="1" applyBorder="1" applyAlignment="1">
      <alignment horizontal="center" vertical="center"/>
    </xf>
    <xf numFmtId="10" fontId="0" fillId="0" borderId="22" xfId="3" applyNumberFormat="1" applyFont="1" applyBorder="1" applyAlignment="1">
      <alignment horizontal="center" vertical="center"/>
    </xf>
    <xf numFmtId="10" fontId="0" fillId="0" borderId="23" xfId="3" applyNumberFormat="1" applyFont="1" applyBorder="1" applyAlignment="1">
      <alignment horizontal="center" vertical="center"/>
    </xf>
    <xf numFmtId="0" fontId="35" fillId="0" borderId="6" xfId="0" applyFont="1" applyBorder="1" applyAlignment="1">
      <alignment horizontal="center" vertical="center"/>
    </xf>
    <xf numFmtId="0" fontId="31" fillId="24" borderId="7" xfId="0" applyFont="1" applyFill="1" applyBorder="1" applyAlignment="1">
      <alignment horizontal="center" vertical="center"/>
    </xf>
    <xf numFmtId="0" fontId="31" fillId="24" borderId="12" xfId="0" applyFont="1" applyFill="1" applyBorder="1" applyAlignment="1">
      <alignment horizontal="center" vertical="center"/>
    </xf>
    <xf numFmtId="0" fontId="31" fillId="24" borderId="13" xfId="0" applyFont="1" applyFill="1" applyBorder="1" applyAlignment="1">
      <alignment horizontal="center" vertical="center"/>
    </xf>
    <xf numFmtId="0" fontId="0" fillId="19" borderId="8" xfId="0" applyFill="1" applyBorder="1" applyAlignment="1">
      <alignment horizontal="center" vertical="center"/>
    </xf>
    <xf numFmtId="0" fontId="0" fillId="19" borderId="10" xfId="0" applyFill="1" applyBorder="1" applyAlignment="1">
      <alignment horizontal="center" vertical="center"/>
    </xf>
    <xf numFmtId="0" fontId="0" fillId="19" borderId="15" xfId="0" applyFill="1" applyBorder="1" applyAlignment="1">
      <alignment horizontal="center" vertical="center"/>
    </xf>
    <xf numFmtId="0" fontId="25" fillId="19" borderId="15" xfId="5" applyFill="1" applyBorder="1" applyAlignment="1">
      <alignment horizontal="center" vertical="center"/>
    </xf>
    <xf numFmtId="0" fontId="14" fillId="3" borderId="7" xfId="0" applyFont="1" applyFill="1" applyBorder="1" applyAlignment="1">
      <alignment horizontal="center" vertical="center"/>
    </xf>
    <xf numFmtId="170" fontId="44" fillId="0" borderId="0" xfId="4" applyNumberFormat="1" applyFont="1" applyBorder="1" applyAlignment="1">
      <alignment horizontal="center" vertical="center"/>
    </xf>
    <xf numFmtId="170" fontId="44" fillId="0" borderId="11" xfId="4" applyNumberFormat="1" applyFont="1" applyBorder="1" applyAlignment="1">
      <alignment horizontal="center" vertical="center"/>
    </xf>
    <xf numFmtId="170" fontId="4" fillId="0" borderId="0" xfId="0" applyNumberFormat="1" applyFont="1" applyBorder="1" applyAlignment="1">
      <alignment horizontal="center" vertical="center"/>
    </xf>
    <xf numFmtId="170" fontId="4" fillId="0" borderId="11" xfId="0" applyNumberFormat="1" applyFont="1" applyBorder="1" applyAlignment="1">
      <alignment horizontal="center" vertical="center"/>
    </xf>
    <xf numFmtId="10" fontId="0" fillId="0" borderId="9" xfId="3" applyNumberFormat="1" applyFont="1" applyBorder="1" applyAlignment="1">
      <alignment horizontal="center" vertical="center"/>
    </xf>
    <xf numFmtId="10" fontId="0" fillId="0" borderId="0" xfId="3" applyNumberFormat="1" applyFont="1" applyAlignment="1">
      <alignment horizontal="center" vertical="center"/>
    </xf>
    <xf numFmtId="0" fontId="11" fillId="3" borderId="21" xfId="0" applyFont="1" applyFill="1" applyBorder="1" applyAlignment="1">
      <alignment horizontal="center" vertical="center"/>
    </xf>
    <xf numFmtId="0" fontId="0" fillId="19" borderId="7" xfId="0" applyFill="1" applyBorder="1" applyAlignment="1">
      <alignment horizontal="center" vertical="center"/>
    </xf>
    <xf numFmtId="0" fontId="0" fillId="19" borderId="13" xfId="0" applyFill="1" applyBorder="1" applyAlignment="1">
      <alignment horizontal="center" vertical="center"/>
    </xf>
    <xf numFmtId="0" fontId="0" fillId="22" borderId="8" xfId="0" applyFill="1" applyBorder="1" applyAlignment="1">
      <alignment horizontal="center" vertical="center"/>
    </xf>
    <xf numFmtId="0" fontId="0" fillId="22" borderId="10" xfId="0" applyFill="1" applyBorder="1" applyAlignment="1">
      <alignment horizontal="center" vertical="center"/>
    </xf>
    <xf numFmtId="0" fontId="0" fillId="22" borderId="15" xfId="0" applyFill="1" applyBorder="1" applyAlignment="1">
      <alignment horizontal="center" vertical="center"/>
    </xf>
    <xf numFmtId="0" fontId="14" fillId="3" borderId="21" xfId="0" applyFont="1" applyFill="1" applyBorder="1" applyAlignment="1">
      <alignment horizontal="center" vertical="center"/>
    </xf>
    <xf numFmtId="9" fontId="14" fillId="3" borderId="50" xfId="0" applyNumberFormat="1" applyFont="1" applyFill="1" applyBorder="1" applyAlignment="1">
      <alignment horizontal="center" vertical="center"/>
    </xf>
    <xf numFmtId="170" fontId="44" fillId="0" borderId="49" xfId="4" applyNumberFormat="1" applyFont="1" applyBorder="1" applyAlignment="1">
      <alignment horizontal="center" vertical="center"/>
    </xf>
    <xf numFmtId="170" fontId="44" fillId="0" borderId="48" xfId="4" applyNumberFormat="1" applyFont="1" applyBorder="1" applyAlignment="1">
      <alignment horizontal="center" vertical="center"/>
    </xf>
    <xf numFmtId="165" fontId="0" fillId="0" borderId="11" xfId="3" applyNumberFormat="1" applyFont="1" applyBorder="1" applyAlignment="1">
      <alignment horizontal="center" vertical="center"/>
    </xf>
    <xf numFmtId="10" fontId="0" fillId="0" borderId="49" xfId="3" applyNumberFormat="1" applyFont="1" applyBorder="1" applyAlignment="1">
      <alignment horizontal="center" vertical="center"/>
    </xf>
    <xf numFmtId="10" fontId="0" fillId="0" borderId="48" xfId="3" applyNumberFormat="1" applyFont="1" applyBorder="1" applyAlignment="1">
      <alignment horizontal="center" vertical="center"/>
    </xf>
    <xf numFmtId="0" fontId="0" fillId="22" borderId="7" xfId="0" applyFill="1" applyBorder="1" applyAlignment="1">
      <alignment horizontal="center" vertical="center"/>
    </xf>
    <xf numFmtId="0" fontId="0" fillId="22" borderId="13" xfId="0" applyFill="1" applyBorder="1" applyAlignment="1">
      <alignment horizontal="center" vertical="center"/>
    </xf>
    <xf numFmtId="0" fontId="35" fillId="0" borderId="6" xfId="0" applyFont="1" applyBorder="1" applyAlignment="1">
      <alignment horizontal="center" vertical="center" wrapText="1"/>
    </xf>
    <xf numFmtId="3" fontId="0" fillId="0" borderId="9" xfId="0" applyNumberFormat="1" applyBorder="1" applyAlignment="1">
      <alignment horizontal="center" vertical="center"/>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3" fontId="25" fillId="0" borderId="11" xfId="5" applyNumberFormat="1" applyBorder="1" applyAlignment="1">
      <alignment horizontal="center" vertical="center"/>
    </xf>
    <xf numFmtId="3" fontId="0" fillId="0" borderId="0" xfId="4" applyNumberFormat="1" applyFont="1" applyBorder="1" applyAlignment="1">
      <alignment horizontal="center" vertical="center"/>
    </xf>
    <xf numFmtId="3" fontId="0" fillId="0" borderId="11" xfId="4" applyNumberFormat="1" applyFont="1" applyBorder="1" applyAlignment="1">
      <alignment horizontal="center" vertical="center"/>
    </xf>
    <xf numFmtId="3" fontId="25" fillId="0" borderId="49" xfId="5" applyNumberFormat="1" applyBorder="1" applyAlignment="1">
      <alignment horizontal="center" vertical="center"/>
    </xf>
    <xf numFmtId="3" fontId="25" fillId="0" borderId="48" xfId="5" applyNumberFormat="1" applyBorder="1" applyAlignment="1">
      <alignment horizontal="center" vertical="center"/>
    </xf>
    <xf numFmtId="3" fontId="0" fillId="0" borderId="12" xfId="4" applyNumberFormat="1" applyFont="1" applyBorder="1" applyAlignment="1">
      <alignment horizontal="center" vertical="center"/>
    </xf>
    <xf numFmtId="3" fontId="0" fillId="0" borderId="13" xfId="4" applyNumberFormat="1" applyFont="1" applyBorder="1" applyAlignment="1">
      <alignment horizontal="center" vertical="center"/>
    </xf>
    <xf numFmtId="175" fontId="0" fillId="0" borderId="0" xfId="4" applyNumberFormat="1" applyFont="1" applyFill="1" applyBorder="1" applyAlignment="1">
      <alignment horizontal="center" vertical="center"/>
    </xf>
    <xf numFmtId="175" fontId="0" fillId="0" borderId="11" xfId="4" applyNumberFormat="1" applyFont="1" applyFill="1" applyBorder="1" applyAlignment="1">
      <alignment horizontal="center" vertical="center"/>
    </xf>
    <xf numFmtId="175" fontId="0" fillId="0" borderId="0" xfId="0" applyNumberFormat="1" applyFill="1" applyBorder="1" applyAlignment="1">
      <alignment horizontal="center" vertical="center"/>
    </xf>
    <xf numFmtId="175" fontId="0" fillId="0" borderId="11" xfId="0" applyNumberFormat="1" applyFill="1" applyBorder="1" applyAlignment="1">
      <alignment horizontal="center" vertical="center"/>
    </xf>
    <xf numFmtId="175" fontId="0" fillId="0" borderId="12" xfId="3" applyNumberFormat="1" applyFont="1" applyFill="1" applyBorder="1" applyAlignment="1">
      <alignment horizontal="center" vertical="center"/>
    </xf>
    <xf numFmtId="175" fontId="0" fillId="0" borderId="13" xfId="3" applyNumberFormat="1" applyFont="1" applyFill="1" applyBorder="1" applyAlignment="1">
      <alignment horizontal="center" vertical="center"/>
    </xf>
    <xf numFmtId="175" fontId="0" fillId="0" borderId="0" xfId="3" applyNumberFormat="1" applyFont="1" applyFill="1" applyBorder="1" applyAlignment="1">
      <alignment horizontal="center" vertical="center"/>
    </xf>
    <xf numFmtId="175" fontId="0" fillId="0" borderId="11" xfId="3" applyNumberFormat="1" applyFont="1" applyFill="1" applyBorder="1" applyAlignment="1">
      <alignment horizontal="center" vertical="center"/>
    </xf>
    <xf numFmtId="175" fontId="0" fillId="0" borderId="22" xfId="3" applyNumberFormat="1" applyFont="1" applyFill="1" applyBorder="1" applyAlignment="1">
      <alignment horizontal="center" vertical="center"/>
    </xf>
    <xf numFmtId="175" fontId="0" fillId="0" borderId="23" xfId="3" applyNumberFormat="1" applyFont="1" applyFill="1" applyBorder="1" applyAlignment="1">
      <alignment horizontal="center" vertical="center"/>
    </xf>
    <xf numFmtId="175" fontId="0" fillId="0" borderId="22" xfId="0" applyNumberFormat="1" applyFill="1" applyBorder="1" applyAlignment="1">
      <alignment horizontal="center" vertical="center"/>
    </xf>
    <xf numFmtId="175" fontId="0" fillId="0" borderId="23" xfId="0" applyNumberFormat="1" applyFill="1" applyBorder="1" applyAlignment="1">
      <alignment horizontal="center" vertical="center"/>
    </xf>
    <xf numFmtId="175" fontId="0" fillId="0" borderId="0" xfId="0" applyNumberFormat="1" applyBorder="1" applyAlignment="1">
      <alignment horizontal="center" vertical="center"/>
    </xf>
    <xf numFmtId="175" fontId="0" fillId="0" borderId="11" xfId="0" applyNumberFormat="1" applyBorder="1" applyAlignment="1">
      <alignment horizontal="center" vertical="center"/>
    </xf>
    <xf numFmtId="175" fontId="0" fillId="0" borderId="0" xfId="4" applyNumberFormat="1" applyFont="1" applyBorder="1" applyAlignment="1">
      <alignment horizontal="center" vertical="center"/>
    </xf>
    <xf numFmtId="175" fontId="0" fillId="0" borderId="11" xfId="4" applyNumberFormat="1" applyFont="1" applyBorder="1" applyAlignment="1">
      <alignment horizontal="center" vertical="center"/>
    </xf>
    <xf numFmtId="175" fontId="0" fillId="0" borderId="49" xfId="0" applyNumberFormat="1" applyBorder="1" applyAlignment="1">
      <alignment horizontal="center" vertical="center"/>
    </xf>
    <xf numFmtId="175" fontId="0" fillId="0" borderId="48" xfId="0" applyNumberFormat="1" applyBorder="1" applyAlignment="1">
      <alignment horizontal="center" vertical="center"/>
    </xf>
    <xf numFmtId="175" fontId="0" fillId="0" borderId="12" xfId="4" applyNumberFormat="1" applyFont="1" applyBorder="1" applyAlignment="1">
      <alignment horizontal="center" vertical="center"/>
    </xf>
    <xf numFmtId="175" fontId="0" fillId="0" borderId="13" xfId="4" applyNumberFormat="1" applyFont="1" applyBorder="1" applyAlignment="1">
      <alignment horizontal="center" vertical="center"/>
    </xf>
    <xf numFmtId="175" fontId="0" fillId="0" borderId="9" xfId="4" applyNumberFormat="1" applyFont="1" applyBorder="1" applyAlignment="1">
      <alignment horizontal="center" vertical="center"/>
    </xf>
    <xf numFmtId="175" fontId="0" fillId="0" borderId="10" xfId="4" applyNumberFormat="1" applyFont="1" applyBorder="1" applyAlignment="1">
      <alignment horizontal="center" vertical="center"/>
    </xf>
    <xf numFmtId="175" fontId="0" fillId="0" borderId="49" xfId="4" applyNumberFormat="1" applyFont="1" applyBorder="1" applyAlignment="1">
      <alignment horizontal="center" vertical="center"/>
    </xf>
    <xf numFmtId="175" fontId="0" fillId="0" borderId="48" xfId="4" applyNumberFormat="1" applyFont="1" applyBorder="1" applyAlignment="1">
      <alignment horizontal="center" vertical="center"/>
    </xf>
    <xf numFmtId="175" fontId="0" fillId="0" borderId="9" xfId="4" applyNumberFormat="1" applyFont="1" applyFill="1" applyBorder="1" applyAlignment="1">
      <alignment horizontal="center" vertical="center"/>
    </xf>
    <xf numFmtId="175" fontId="0" fillId="0" borderId="10" xfId="4" applyNumberFormat="1" applyFont="1" applyFill="1" applyBorder="1" applyAlignment="1">
      <alignment horizontal="center" vertical="center"/>
    </xf>
    <xf numFmtId="175" fontId="44" fillId="0" borderId="0" xfId="4" applyNumberFormat="1" applyFont="1" applyFill="1" applyBorder="1" applyAlignment="1">
      <alignment horizontal="center" vertical="center"/>
    </xf>
    <xf numFmtId="175" fontId="44" fillId="0" borderId="11" xfId="4" applyNumberFormat="1" applyFont="1" applyFill="1" applyBorder="1" applyAlignment="1">
      <alignment horizontal="center" vertical="center"/>
    </xf>
    <xf numFmtId="175" fontId="44" fillId="0" borderId="49" xfId="4" applyNumberFormat="1" applyFont="1" applyFill="1" applyBorder="1" applyAlignment="1">
      <alignment horizontal="center" vertical="center"/>
    </xf>
    <xf numFmtId="175" fontId="44" fillId="0" borderId="48" xfId="4" applyNumberFormat="1" applyFont="1" applyFill="1" applyBorder="1" applyAlignment="1">
      <alignment horizontal="center" vertical="center"/>
    </xf>
    <xf numFmtId="175" fontId="0" fillId="0" borderId="9" xfId="0" applyNumberFormat="1" applyBorder="1" applyAlignment="1">
      <alignment horizontal="center" vertical="center"/>
    </xf>
    <xf numFmtId="175" fontId="0" fillId="0" borderId="10" xfId="0" applyNumberFormat="1" applyBorder="1" applyAlignment="1">
      <alignment horizontal="center" vertical="center"/>
    </xf>
    <xf numFmtId="175" fontId="25" fillId="0" borderId="0" xfId="5" applyNumberFormat="1" applyBorder="1" applyAlignment="1">
      <alignment horizontal="center" vertical="center"/>
    </xf>
    <xf numFmtId="175" fontId="25" fillId="0" borderId="11" xfId="5" applyNumberFormat="1" applyBorder="1" applyAlignment="1">
      <alignment horizontal="center" vertical="center"/>
    </xf>
    <xf numFmtId="175" fontId="25" fillId="0" borderId="49" xfId="5" applyNumberFormat="1" applyBorder="1" applyAlignment="1">
      <alignment horizontal="center" vertical="center"/>
    </xf>
    <xf numFmtId="175" fontId="25" fillId="0" borderId="48" xfId="5" applyNumberFormat="1" applyBorder="1" applyAlignment="1">
      <alignment horizontal="center" vertical="center"/>
    </xf>
    <xf numFmtId="175" fontId="0" fillId="0" borderId="12" xfId="0" applyNumberFormat="1" applyBorder="1" applyAlignment="1">
      <alignment horizontal="center" vertical="center"/>
    </xf>
    <xf numFmtId="175" fontId="0" fillId="0" borderId="13" xfId="0" applyNumberFormat="1" applyBorder="1" applyAlignment="1">
      <alignment horizontal="center" vertical="center"/>
    </xf>
    <xf numFmtId="175" fontId="44" fillId="0" borderId="0" xfId="4" applyNumberFormat="1" applyFont="1" applyBorder="1" applyAlignment="1">
      <alignment horizontal="center" vertical="center"/>
    </xf>
    <xf numFmtId="175" fontId="0" fillId="0" borderId="22" xfId="4" applyNumberFormat="1" applyFont="1" applyBorder="1" applyAlignment="1">
      <alignment horizontal="center" vertical="center"/>
    </xf>
    <xf numFmtId="175" fontId="0" fillId="0" borderId="23" xfId="4" applyNumberFormat="1" applyFont="1" applyBorder="1" applyAlignment="1">
      <alignment horizontal="center" vertical="center"/>
    </xf>
    <xf numFmtId="175" fontId="25" fillId="0" borderId="12" xfId="5" applyNumberFormat="1" applyBorder="1" applyAlignment="1">
      <alignment horizontal="center" vertical="center"/>
    </xf>
    <xf numFmtId="175" fontId="25" fillId="0" borderId="13" xfId="5" applyNumberFormat="1" applyBorder="1" applyAlignment="1">
      <alignment horizontal="center" vertical="center"/>
    </xf>
    <xf numFmtId="175" fontId="44" fillId="0" borderId="11" xfId="4" applyNumberFormat="1" applyFont="1" applyBorder="1" applyAlignment="1">
      <alignment horizontal="center" vertical="center"/>
    </xf>
    <xf numFmtId="175" fontId="44" fillId="0" borderId="9" xfId="4" applyNumberFormat="1" applyFont="1" applyBorder="1" applyAlignment="1">
      <alignment horizontal="center" vertical="center"/>
    </xf>
    <xf numFmtId="175" fontId="44" fillId="0" borderId="10" xfId="4" applyNumberFormat="1" applyFont="1" applyBorder="1" applyAlignment="1">
      <alignment horizontal="center" vertical="center"/>
    </xf>
    <xf numFmtId="175" fontId="44" fillId="0" borderId="49" xfId="4" applyNumberFormat="1" applyFont="1" applyBorder="1" applyAlignment="1">
      <alignment horizontal="center" vertical="center"/>
    </xf>
    <xf numFmtId="175" fontId="44" fillId="0" borderId="48" xfId="4" applyNumberFormat="1" applyFont="1" applyBorder="1" applyAlignment="1">
      <alignment horizontal="center" vertical="center"/>
    </xf>
    <xf numFmtId="10" fontId="44" fillId="0" borderId="0" xfId="3" applyNumberFormat="1" applyFont="1" applyFill="1" applyBorder="1" applyAlignment="1">
      <alignment horizontal="center" vertical="center"/>
    </xf>
    <xf numFmtId="10" fontId="44" fillId="0" borderId="11" xfId="3" applyNumberFormat="1" applyFont="1" applyFill="1" applyBorder="1" applyAlignment="1">
      <alignment horizontal="center" vertical="center"/>
    </xf>
    <xf numFmtId="10" fontId="44" fillId="0" borderId="9" xfId="3" applyNumberFormat="1" applyFont="1" applyBorder="1" applyAlignment="1">
      <alignment horizontal="center" vertical="center"/>
    </xf>
    <xf numFmtId="10" fontId="44" fillId="0" borderId="10" xfId="3" applyNumberFormat="1" applyFont="1" applyBorder="1" applyAlignment="1">
      <alignment horizontal="center" vertical="center"/>
    </xf>
    <xf numFmtId="10" fontId="44" fillId="0" borderId="49" xfId="3" applyNumberFormat="1" applyFont="1" applyBorder="1" applyAlignment="1">
      <alignment horizontal="center" vertical="center"/>
    </xf>
    <xf numFmtId="10" fontId="44" fillId="0" borderId="48" xfId="3" applyNumberFormat="1" applyFont="1" applyBorder="1" applyAlignment="1">
      <alignment horizontal="center" vertical="center"/>
    </xf>
    <xf numFmtId="0" fontId="0" fillId="0" borderId="0" xfId="0" applyBorder="1" applyAlignment="1">
      <alignment horizontal="left" vertical="center"/>
    </xf>
    <xf numFmtId="0" fontId="0" fillId="27" borderId="0" xfId="0" applyFill="1" applyBorder="1" applyAlignment="1">
      <alignment horizontal="center" vertical="center"/>
    </xf>
    <xf numFmtId="0" fontId="25" fillId="27" borderId="0" xfId="5" applyFill="1" applyBorder="1" applyAlignment="1">
      <alignment horizontal="center" vertical="center"/>
    </xf>
    <xf numFmtId="0" fontId="0" fillId="27" borderId="0" xfId="0" applyFill="1" applyAlignment="1">
      <alignment horizontal="center" vertical="center"/>
    </xf>
    <xf numFmtId="0" fontId="0" fillId="27" borderId="7" xfId="0" applyFill="1" applyBorder="1" applyAlignment="1">
      <alignment horizontal="center" vertical="center"/>
    </xf>
    <xf numFmtId="170" fontId="0" fillId="27" borderId="0" xfId="4" applyNumberFormat="1" applyFont="1" applyFill="1" applyBorder="1" applyAlignment="1">
      <alignment horizontal="center" vertical="center"/>
    </xf>
    <xf numFmtId="0" fontId="11" fillId="27" borderId="0" xfId="0" applyFont="1" applyFill="1" applyBorder="1" applyAlignment="1">
      <alignment horizontal="center" vertical="center"/>
    </xf>
    <xf numFmtId="9" fontId="0" fillId="27" borderId="0" xfId="3" applyFont="1" applyFill="1" applyBorder="1" applyAlignment="1">
      <alignment horizontal="center" vertical="center"/>
    </xf>
    <xf numFmtId="0" fontId="11" fillId="27" borderId="9" xfId="0" applyFont="1" applyFill="1" applyBorder="1" applyAlignment="1">
      <alignment horizontal="center" vertical="center"/>
    </xf>
    <xf numFmtId="170" fontId="0" fillId="27" borderId="9" xfId="4" applyNumberFormat="1" applyFont="1" applyFill="1" applyBorder="1" applyAlignment="1">
      <alignment horizontal="center" vertical="center"/>
    </xf>
    <xf numFmtId="0" fontId="11" fillId="27" borderId="12" xfId="0" applyFont="1" applyFill="1" applyBorder="1" applyAlignment="1">
      <alignment horizontal="center" vertical="center"/>
    </xf>
    <xf numFmtId="170" fontId="0" fillId="27" borderId="12" xfId="4" applyNumberFormat="1" applyFont="1" applyFill="1" applyBorder="1" applyAlignment="1">
      <alignment horizontal="center" vertical="center"/>
    </xf>
    <xf numFmtId="0" fontId="0" fillId="23" borderId="0" xfId="0" applyFill="1" applyAlignment="1">
      <alignment horizontal="center" vertical="center"/>
    </xf>
    <xf numFmtId="9" fontId="0" fillId="23" borderId="0" xfId="3" applyFont="1" applyFill="1" applyAlignment="1">
      <alignment horizontal="center" vertical="center"/>
    </xf>
    <xf numFmtId="0" fontId="14" fillId="23" borderId="0" xfId="0" applyFont="1" applyFill="1" applyBorder="1" applyAlignment="1">
      <alignment horizontal="center" vertical="center"/>
    </xf>
    <xf numFmtId="0" fontId="25" fillId="23" borderId="0" xfId="5" applyFill="1" applyAlignment="1">
      <alignment horizontal="center" vertical="center"/>
    </xf>
    <xf numFmtId="0" fontId="0" fillId="23" borderId="0" xfId="0" applyFill="1" applyBorder="1" applyAlignment="1">
      <alignment horizontal="center" vertical="center"/>
    </xf>
    <xf numFmtId="170" fontId="0" fillId="23" borderId="0" xfId="4" applyNumberFormat="1" applyFont="1" applyFill="1" applyBorder="1" applyAlignment="1">
      <alignment horizontal="center" vertical="center"/>
    </xf>
    <xf numFmtId="0" fontId="14" fillId="13" borderId="0" xfId="0" applyFont="1" applyFill="1" applyBorder="1" applyAlignment="1">
      <alignment horizontal="center" vertical="center"/>
    </xf>
    <xf numFmtId="0" fontId="25" fillId="13" borderId="0" xfId="5" applyFill="1" applyAlignment="1">
      <alignment horizontal="center" vertical="center"/>
    </xf>
    <xf numFmtId="0" fontId="0" fillId="13" borderId="0" xfId="0" applyFill="1" applyBorder="1" applyAlignment="1">
      <alignment horizontal="center" vertical="center"/>
    </xf>
    <xf numFmtId="170" fontId="0" fillId="13" borderId="0" xfId="4" applyNumberFormat="1" applyFont="1" applyFill="1" applyBorder="1" applyAlignment="1">
      <alignment horizontal="center" vertical="center"/>
    </xf>
    <xf numFmtId="0" fontId="25" fillId="13" borderId="0" xfId="5" applyFill="1" applyBorder="1" applyAlignment="1">
      <alignment horizontal="center" vertical="center"/>
    </xf>
    <xf numFmtId="9" fontId="0" fillId="0" borderId="11" xfId="3" applyFont="1" applyBorder="1" applyAlignment="1">
      <alignment horizontal="center" vertical="center"/>
    </xf>
    <xf numFmtId="165" fontId="0" fillId="0" borderId="20" xfId="3" applyNumberFormat="1" applyFont="1" applyBorder="1" applyAlignment="1">
      <alignment horizontal="center" vertical="center"/>
    </xf>
    <xf numFmtId="10" fontId="0" fillId="14" borderId="0" xfId="3" applyNumberFormat="1" applyFont="1" applyFill="1" applyBorder="1" applyAlignment="1">
      <alignment horizontal="center" vertical="center"/>
    </xf>
    <xf numFmtId="10" fontId="0" fillId="26" borderId="0" xfId="3" applyNumberFormat="1" applyFont="1" applyFill="1" applyBorder="1" applyAlignment="1">
      <alignment horizontal="center" vertical="center"/>
    </xf>
    <xf numFmtId="10" fontId="0" fillId="26" borderId="3" xfId="3" applyNumberFormat="1" applyFont="1" applyFill="1" applyBorder="1" applyAlignment="1">
      <alignment horizontal="center" vertical="center"/>
    </xf>
    <xf numFmtId="10" fontId="0" fillId="14" borderId="3" xfId="3" applyNumberFormat="1" applyFont="1" applyFill="1" applyBorder="1" applyAlignment="1">
      <alignment horizontal="center" vertical="center"/>
    </xf>
    <xf numFmtId="2" fontId="4" fillId="0" borderId="0" xfId="0" applyNumberFormat="1" applyFont="1" applyBorder="1" applyAlignment="1">
      <alignment horizontal="center" vertical="center"/>
    </xf>
    <xf numFmtId="2" fontId="4" fillId="0" borderId="11" xfId="0" applyNumberFormat="1" applyFont="1" applyBorder="1" applyAlignment="1">
      <alignment horizontal="center" vertical="center"/>
    </xf>
    <xf numFmtId="167" fontId="4" fillId="0" borderId="0" xfId="0" applyNumberFormat="1" applyFont="1" applyBorder="1" applyAlignment="1">
      <alignment horizontal="center" vertical="center"/>
    </xf>
    <xf numFmtId="167" fontId="4" fillId="0" borderId="11" xfId="0" applyNumberFormat="1" applyFont="1" applyBorder="1" applyAlignment="1">
      <alignment horizontal="center" vertical="center"/>
    </xf>
    <xf numFmtId="0" fontId="4" fillId="0" borderId="0" xfId="5" applyFont="1" applyBorder="1" applyAlignment="1">
      <alignment horizontal="center" vertical="center"/>
    </xf>
    <xf numFmtId="167" fontId="4" fillId="0" borderId="12" xfId="0" applyNumberFormat="1" applyFont="1" applyBorder="1" applyAlignment="1">
      <alignment horizontal="center" vertical="center"/>
    </xf>
    <xf numFmtId="167" fontId="4" fillId="0" borderId="13" xfId="0" applyNumberFormat="1" applyFont="1" applyBorder="1" applyAlignment="1">
      <alignment horizontal="center" vertical="center"/>
    </xf>
    <xf numFmtId="9" fontId="0" fillId="0" borderId="9" xfId="3" applyNumberFormat="1" applyFont="1" applyBorder="1" applyAlignment="1">
      <alignment horizontal="center" vertical="center"/>
    </xf>
    <xf numFmtId="9" fontId="0" fillId="0" borderId="10" xfId="3" applyNumberFormat="1"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0" fillId="0" borderId="0" xfId="0" applyFont="1" applyAlignment="1">
      <alignment horizontal="center" vertical="center"/>
    </xf>
    <xf numFmtId="0" fontId="2" fillId="3" borderId="52" xfId="0" applyFont="1" applyFill="1" applyBorder="1" applyAlignment="1">
      <alignment horizontal="left" vertical="center"/>
    </xf>
    <xf numFmtId="0" fontId="45" fillId="7" borderId="9" xfId="0" applyFont="1" applyFill="1" applyBorder="1" applyAlignment="1">
      <alignment horizontal="center" vertical="center"/>
    </xf>
    <xf numFmtId="0" fontId="45" fillId="7" borderId="10" xfId="0" applyFont="1" applyFill="1" applyBorder="1" applyAlignment="1">
      <alignment horizontal="center" vertical="center"/>
    </xf>
    <xf numFmtId="0" fontId="2" fillId="3" borderId="21" xfId="0" applyFont="1" applyFill="1" applyBorder="1" applyAlignment="1">
      <alignment horizontal="center" vertical="center"/>
    </xf>
    <xf numFmtId="0" fontId="45" fillId="7" borderId="22" xfId="0" applyFont="1" applyFill="1" applyBorder="1" applyAlignment="1">
      <alignment horizontal="center" vertical="center"/>
    </xf>
    <xf numFmtId="0" fontId="45" fillId="7" borderId="23" xfId="0" applyFont="1" applyFill="1" applyBorder="1" applyAlignment="1">
      <alignment horizontal="center" vertical="center"/>
    </xf>
    <xf numFmtId="0" fontId="0" fillId="0" borderId="0" xfId="0" applyFont="1" applyBorder="1" applyAlignment="1">
      <alignment horizontal="center" vertical="center"/>
    </xf>
    <xf numFmtId="0" fontId="0" fillId="21" borderId="8" xfId="0" applyFont="1" applyFill="1" applyBorder="1" applyAlignment="1">
      <alignment horizontal="center" vertical="center"/>
    </xf>
    <xf numFmtId="0" fontId="0" fillId="21" borderId="10" xfId="0" applyFont="1" applyFill="1" applyBorder="1" applyAlignment="1">
      <alignment horizontal="center" vertical="center"/>
    </xf>
    <xf numFmtId="0" fontId="2" fillId="3" borderId="60" xfId="0" applyFont="1" applyFill="1" applyBorder="1" applyAlignment="1">
      <alignment horizontal="left" vertical="center"/>
    </xf>
    <xf numFmtId="0" fontId="45" fillId="7" borderId="4" xfId="0" applyFont="1" applyFill="1" applyBorder="1" applyAlignment="1">
      <alignment horizontal="center" vertical="center"/>
    </xf>
    <xf numFmtId="0" fontId="45" fillId="7" borderId="20" xfId="0" applyFont="1" applyFill="1" applyBorder="1" applyAlignment="1">
      <alignment horizontal="center" vertical="center"/>
    </xf>
    <xf numFmtId="0" fontId="0" fillId="0" borderId="8" xfId="0" applyFont="1" applyBorder="1" applyAlignment="1">
      <alignment horizontal="left" vertical="center"/>
    </xf>
    <xf numFmtId="0" fontId="0" fillId="0" borderId="9" xfId="0" applyFont="1" applyBorder="1" applyAlignment="1">
      <alignment horizontal="center" vertical="center"/>
    </xf>
    <xf numFmtId="0" fontId="0" fillId="21" borderId="15" xfId="0" applyFont="1" applyFill="1" applyBorder="1" applyAlignment="1">
      <alignment horizontal="center" vertical="center"/>
    </xf>
    <xf numFmtId="0" fontId="0" fillId="17" borderId="0" xfId="0" applyFont="1" applyFill="1" applyAlignment="1">
      <alignment horizontal="center" vertical="center"/>
    </xf>
    <xf numFmtId="0" fontId="0" fillId="17" borderId="0" xfId="0" applyFont="1" applyFill="1" applyBorder="1" applyAlignment="1">
      <alignment horizontal="center" vertical="center"/>
    </xf>
    <xf numFmtId="0" fontId="2" fillId="3" borderId="53" xfId="0" applyFont="1" applyFill="1" applyBorder="1" applyAlignment="1">
      <alignment horizontal="left" vertical="center"/>
    </xf>
    <xf numFmtId="0" fontId="0" fillId="0" borderId="6" xfId="0" applyFont="1" applyBorder="1" applyAlignment="1">
      <alignment horizontal="left" vertical="center"/>
    </xf>
    <xf numFmtId="170" fontId="0" fillId="0" borderId="0" xfId="0" applyNumberFormat="1" applyFont="1" applyFill="1" applyBorder="1" applyAlignment="1">
      <alignment horizontal="center" vertical="center"/>
    </xf>
    <xf numFmtId="170" fontId="0" fillId="0" borderId="11" xfId="0" applyNumberFormat="1" applyFont="1" applyFill="1" applyBorder="1" applyAlignment="1">
      <alignment horizontal="center" vertical="center"/>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53" xfId="0" applyFont="1" applyBorder="1" applyAlignment="1">
      <alignment horizontal="center" vertical="center"/>
    </xf>
    <xf numFmtId="2" fontId="0" fillId="0" borderId="11" xfId="0" applyNumberFormat="1" applyFont="1" applyFill="1" applyBorder="1" applyAlignment="1">
      <alignment horizontal="center" vertical="center"/>
    </xf>
    <xf numFmtId="0" fontId="0" fillId="11" borderId="51" xfId="0" applyFont="1" applyFill="1" applyBorder="1" applyAlignment="1">
      <alignment horizontal="center" vertical="center"/>
    </xf>
    <xf numFmtId="10" fontId="0" fillId="11" borderId="23"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 fontId="0"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0" fillId="0" borderId="53" xfId="0" applyFont="1" applyFill="1" applyBorder="1" applyAlignment="1">
      <alignment horizontal="center" vertical="center"/>
    </xf>
    <xf numFmtId="1" fontId="0" fillId="17" borderId="0" xfId="0" applyNumberFormat="1" applyFont="1" applyFill="1" applyBorder="1" applyAlignment="1">
      <alignment horizontal="center" vertical="center"/>
    </xf>
    <xf numFmtId="1" fontId="0" fillId="21" borderId="15" xfId="0" applyNumberFormat="1" applyFont="1" applyFill="1" applyBorder="1" applyAlignment="1">
      <alignment horizontal="center" vertical="center"/>
    </xf>
    <xf numFmtId="0" fontId="0" fillId="0" borderId="19" xfId="0" applyFont="1" applyBorder="1" applyAlignment="1">
      <alignment horizontal="center" vertical="center"/>
    </xf>
    <xf numFmtId="9" fontId="0" fillId="0" borderId="0" xfId="0" applyNumberFormat="1" applyFont="1" applyBorder="1" applyAlignment="1">
      <alignment horizontal="center" vertical="center"/>
    </xf>
    <xf numFmtId="9" fontId="0" fillId="0" borderId="11" xfId="0" applyNumberFormat="1" applyFont="1" applyBorder="1" applyAlignment="1">
      <alignment horizontal="center" vertical="center"/>
    </xf>
    <xf numFmtId="0" fontId="0" fillId="0" borderId="19" xfId="0" applyFont="1" applyBorder="1" applyAlignment="1">
      <alignment horizontal="left" vertical="center"/>
    </xf>
    <xf numFmtId="0" fontId="0" fillId="0" borderId="4" xfId="0" applyFont="1" applyBorder="1" applyAlignment="1">
      <alignment horizontal="center" vertical="center"/>
    </xf>
    <xf numFmtId="1" fontId="0" fillId="14" borderId="0" xfId="0" applyNumberFormat="1" applyFont="1" applyFill="1" applyBorder="1" applyAlignment="1">
      <alignment horizontal="center" vertical="center"/>
    </xf>
    <xf numFmtId="0" fontId="45" fillId="26" borderId="58" xfId="0" applyFont="1" applyFill="1" applyBorder="1" applyAlignment="1">
      <alignment horizontal="center" vertical="center"/>
    </xf>
    <xf numFmtId="0" fontId="45" fillId="26" borderId="0" xfId="0" applyFont="1" applyFill="1" applyBorder="1" applyAlignment="1">
      <alignment horizontal="center" vertical="center"/>
    </xf>
    <xf numFmtId="0" fontId="45" fillId="26" borderId="32" xfId="0" applyFont="1" applyFill="1" applyBorder="1" applyAlignment="1">
      <alignment horizontal="center" vertical="center"/>
    </xf>
    <xf numFmtId="0" fontId="45" fillId="26" borderId="11" xfId="0" applyFont="1" applyFill="1" applyBorder="1" applyAlignment="1">
      <alignment horizontal="center" vertical="center" wrapText="1"/>
    </xf>
    <xf numFmtId="9" fontId="0" fillId="0" borderId="19" xfId="0" applyNumberFormat="1" applyFont="1" applyBorder="1" applyAlignment="1">
      <alignment horizontal="center" vertical="center"/>
    </xf>
    <xf numFmtId="0" fontId="0" fillId="0" borderId="54" xfId="0" applyFont="1" applyFill="1" applyBorder="1" applyAlignment="1">
      <alignment horizontal="center" vertical="center"/>
    </xf>
    <xf numFmtId="1" fontId="0" fillId="14" borderId="12" xfId="0" applyNumberFormat="1" applyFont="1" applyFill="1" applyBorder="1" applyAlignment="1">
      <alignment horizontal="center" vertical="center"/>
    </xf>
    <xf numFmtId="0" fontId="0" fillId="26" borderId="52" xfId="0" applyFont="1" applyFill="1" applyBorder="1" applyAlignment="1">
      <alignment horizontal="center" vertical="center"/>
    </xf>
    <xf numFmtId="0" fontId="0" fillId="26" borderId="9" xfId="0" applyFont="1" applyFill="1" applyBorder="1" applyAlignment="1">
      <alignment horizontal="center" vertical="center"/>
    </xf>
    <xf numFmtId="0" fontId="0" fillId="26" borderId="29" xfId="0" applyFont="1" applyFill="1" applyBorder="1" applyAlignment="1">
      <alignment horizontal="center" vertical="center"/>
    </xf>
    <xf numFmtId="0" fontId="0" fillId="26" borderId="10" xfId="0" applyFont="1" applyFill="1" applyBorder="1" applyAlignment="1">
      <alignment horizontal="center" vertical="center"/>
    </xf>
    <xf numFmtId="0" fontId="0" fillId="26" borderId="53" xfId="0" applyFont="1" applyFill="1" applyBorder="1" applyAlignment="1">
      <alignment horizontal="center" vertical="center"/>
    </xf>
    <xf numFmtId="1" fontId="0" fillId="26" borderId="0" xfId="0" applyNumberFormat="1" applyFont="1" applyFill="1" applyBorder="1" applyAlignment="1">
      <alignment horizontal="center" vertical="center"/>
    </xf>
    <xf numFmtId="1" fontId="0" fillId="26" borderId="3" xfId="0" applyNumberFormat="1" applyFont="1" applyFill="1" applyBorder="1" applyAlignment="1">
      <alignment horizontal="center" vertical="center"/>
    </xf>
    <xf numFmtId="0" fontId="0" fillId="26" borderId="11" xfId="0" applyFont="1" applyFill="1" applyBorder="1" applyAlignment="1">
      <alignment horizontal="center" vertical="center"/>
    </xf>
    <xf numFmtId="0" fontId="2" fillId="3" borderId="59" xfId="0" applyFont="1" applyFill="1" applyBorder="1" applyAlignment="1">
      <alignment horizontal="left" vertical="center"/>
    </xf>
    <xf numFmtId="0" fontId="0" fillId="26" borderId="0" xfId="0" applyFont="1" applyFill="1" applyBorder="1" applyAlignment="1">
      <alignment horizontal="center" vertical="center"/>
    </xf>
    <xf numFmtId="0" fontId="2" fillId="3" borderId="54" xfId="0" applyFont="1" applyFill="1" applyBorder="1" applyAlignment="1">
      <alignment horizontal="left" vertical="center"/>
    </xf>
    <xf numFmtId="170" fontId="0" fillId="0" borderId="12" xfId="0" applyNumberFormat="1" applyFont="1" applyFill="1" applyBorder="1" applyAlignment="1">
      <alignment horizontal="center" vertical="center"/>
    </xf>
    <xf numFmtId="170" fontId="0" fillId="0" borderId="13"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26" borderId="60" xfId="0" applyFont="1" applyFill="1" applyBorder="1" applyAlignment="1">
      <alignment horizontal="center" vertical="center"/>
    </xf>
    <xf numFmtId="0" fontId="0" fillId="26" borderId="4" xfId="0" applyFont="1" applyFill="1" applyBorder="1" applyAlignment="1">
      <alignment horizontal="center" vertical="center"/>
    </xf>
    <xf numFmtId="1" fontId="0" fillId="26" borderId="4" xfId="0" applyNumberFormat="1" applyFont="1" applyFill="1" applyBorder="1" applyAlignment="1">
      <alignment horizontal="center" vertical="center"/>
    </xf>
    <xf numFmtId="1" fontId="0" fillId="26" borderId="5" xfId="0" applyNumberFormat="1" applyFont="1" applyFill="1" applyBorder="1" applyAlignment="1">
      <alignment horizontal="center" vertical="center"/>
    </xf>
    <xf numFmtId="0" fontId="0" fillId="26" borderId="20" xfId="0" applyFont="1" applyFill="1" applyBorder="1" applyAlignment="1">
      <alignment horizontal="center" vertical="center"/>
    </xf>
    <xf numFmtId="0" fontId="0" fillId="26" borderId="54" xfId="0" applyFont="1" applyFill="1" applyBorder="1" applyAlignment="1">
      <alignment horizontal="center" vertical="center"/>
    </xf>
    <xf numFmtId="0" fontId="0" fillId="26" borderId="12" xfId="0" applyFont="1" applyFill="1" applyBorder="1" applyAlignment="1">
      <alignment horizontal="center" vertical="center"/>
    </xf>
    <xf numFmtId="1" fontId="0" fillId="26" borderId="12" xfId="0" applyNumberFormat="1" applyFont="1" applyFill="1" applyBorder="1" applyAlignment="1">
      <alignment horizontal="center" vertical="center"/>
    </xf>
    <xf numFmtId="1" fontId="0" fillId="26" borderId="46" xfId="0" applyNumberFormat="1" applyFont="1" applyFill="1" applyBorder="1" applyAlignment="1">
      <alignment horizontal="center" vertical="center"/>
    </xf>
    <xf numFmtId="0" fontId="0" fillId="26" borderId="13" xfId="0" applyFont="1" applyFill="1" applyBorder="1" applyAlignment="1">
      <alignment horizontal="center" vertical="center"/>
    </xf>
    <xf numFmtId="0" fontId="0" fillId="0" borderId="52" xfId="0" applyFont="1" applyBorder="1" applyAlignment="1">
      <alignment horizontal="left" vertical="center"/>
    </xf>
    <xf numFmtId="0" fontId="0" fillId="0" borderId="53" xfId="0" applyFont="1" applyFill="1" applyBorder="1" applyAlignment="1">
      <alignment horizontal="left" vertical="center"/>
    </xf>
    <xf numFmtId="0" fontId="0" fillId="0" borderId="53" xfId="0" applyFont="1" applyBorder="1" applyAlignment="1">
      <alignment horizontal="left" vertical="center"/>
    </xf>
    <xf numFmtId="2" fontId="0" fillId="14" borderId="0" xfId="0" applyNumberFormat="1" applyFont="1" applyFill="1" applyBorder="1" applyAlignment="1">
      <alignment horizontal="center" vertical="center"/>
    </xf>
    <xf numFmtId="2" fontId="0" fillId="14" borderId="11" xfId="0" applyNumberFormat="1" applyFont="1" applyFill="1" applyBorder="1" applyAlignment="1">
      <alignment horizontal="center" vertical="center"/>
    </xf>
    <xf numFmtId="0" fontId="45" fillId="7" borderId="58" xfId="0" applyFont="1" applyFill="1" applyBorder="1" applyAlignment="1">
      <alignment horizontal="center" vertical="center"/>
    </xf>
    <xf numFmtId="0" fontId="45" fillId="7" borderId="0" xfId="0" applyFont="1" applyFill="1" applyBorder="1" applyAlignment="1">
      <alignment horizontal="center" vertical="center"/>
    </xf>
    <xf numFmtId="0" fontId="45" fillId="7" borderId="32" xfId="0" applyFont="1" applyFill="1" applyBorder="1" applyAlignment="1">
      <alignment horizontal="center" vertical="center"/>
    </xf>
    <xf numFmtId="0" fontId="45" fillId="7" borderId="11"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29" xfId="0" applyFont="1" applyBorder="1" applyAlignment="1">
      <alignment horizontal="center" vertical="center"/>
    </xf>
    <xf numFmtId="1" fontId="0" fillId="14" borderId="3" xfId="0" applyNumberFormat="1" applyFont="1" applyFill="1" applyBorder="1" applyAlignment="1">
      <alignment horizontal="center" vertical="center"/>
    </xf>
    <xf numFmtId="0" fontId="0" fillId="14" borderId="11" xfId="0" applyFont="1" applyFill="1" applyBorder="1" applyAlignment="1">
      <alignment horizontal="center" vertical="center"/>
    </xf>
    <xf numFmtId="0" fontId="0" fillId="0" borderId="54" xfId="0" applyFont="1" applyBorder="1" applyAlignment="1">
      <alignment horizontal="left" vertical="center"/>
    </xf>
    <xf numFmtId="2" fontId="0" fillId="14" borderId="12" xfId="0" applyNumberFormat="1" applyFont="1" applyFill="1" applyBorder="1" applyAlignment="1">
      <alignment horizontal="center" vertical="center"/>
    </xf>
    <xf numFmtId="1" fontId="0" fillId="0" borderId="3"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33" xfId="0" applyFont="1" applyBorder="1" applyAlignment="1">
      <alignment horizontal="center" vertical="center"/>
    </xf>
    <xf numFmtId="0" fontId="0" fillId="0" borderId="60" xfId="0" applyFont="1" applyFill="1" applyBorder="1" applyAlignment="1">
      <alignment horizontal="center" vertical="center"/>
    </xf>
    <xf numFmtId="0" fontId="0" fillId="0" borderId="40" xfId="0" applyFont="1" applyFill="1" applyBorder="1" applyAlignment="1">
      <alignment horizontal="center" vertical="center"/>
    </xf>
    <xf numFmtId="9" fontId="0" fillId="0" borderId="39" xfId="0" applyNumberFormat="1" applyFont="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center" vertical="center"/>
    </xf>
    <xf numFmtId="0" fontId="0" fillId="21" borderId="7" xfId="0" applyFont="1" applyFill="1" applyBorder="1" applyAlignment="1">
      <alignment horizontal="center" vertical="center"/>
    </xf>
    <xf numFmtId="0" fontId="0" fillId="21" borderId="13"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167" fontId="0" fillId="0" borderId="13" xfId="0" applyNumberFormat="1" applyFont="1" applyBorder="1" applyAlignment="1">
      <alignment horizontal="center" vertical="center"/>
    </xf>
    <xf numFmtId="0" fontId="0" fillId="0" borderId="0" xfId="0" applyFont="1" applyFill="1" applyAlignment="1">
      <alignment horizontal="center" vertical="center"/>
    </xf>
    <xf numFmtId="2" fontId="4" fillId="14" borderId="0" xfId="5" applyNumberFormat="1" applyFont="1" applyFill="1" applyBorder="1" applyAlignment="1">
      <alignment horizontal="center" vertical="center"/>
    </xf>
    <xf numFmtId="2" fontId="4" fillId="14" borderId="11" xfId="5" applyNumberFormat="1" applyFont="1" applyFill="1" applyBorder="1" applyAlignment="1">
      <alignment horizontal="center" vertical="center"/>
    </xf>
    <xf numFmtId="2" fontId="4" fillId="0" borderId="0" xfId="5" applyNumberFormat="1" applyFont="1" applyBorder="1" applyAlignment="1">
      <alignment horizontal="center" vertical="center"/>
    </xf>
    <xf numFmtId="2" fontId="4" fillId="0" borderId="11" xfId="5" applyNumberFormat="1" applyFont="1" applyBorder="1" applyAlignment="1">
      <alignment horizontal="center" vertical="center"/>
    </xf>
    <xf numFmtId="2" fontId="4" fillId="0" borderId="12" xfId="5" applyNumberFormat="1" applyFont="1" applyBorder="1" applyAlignment="1">
      <alignment horizontal="center" vertical="center"/>
    </xf>
    <xf numFmtId="2" fontId="4" fillId="0" borderId="13" xfId="5" applyNumberFormat="1" applyFont="1" applyBorder="1" applyAlignment="1">
      <alignment horizontal="center" vertical="center"/>
    </xf>
    <xf numFmtId="0" fontId="4" fillId="0" borderId="0" xfId="5" applyFont="1" applyAlignment="1">
      <alignment horizontal="center" vertical="center"/>
    </xf>
    <xf numFmtId="9" fontId="0" fillId="0" borderId="11" xfId="0" applyNumberFormat="1" applyFont="1" applyFill="1" applyBorder="1" applyAlignment="1">
      <alignment horizontal="center" vertical="center"/>
    </xf>
    <xf numFmtId="0" fontId="0" fillId="18" borderId="8" xfId="0" applyFont="1" applyFill="1" applyBorder="1" applyAlignment="1">
      <alignment horizontal="center" vertical="center"/>
    </xf>
    <xf numFmtId="0" fontId="0" fillId="18" borderId="6" xfId="0" applyFont="1" applyFill="1" applyBorder="1" applyAlignment="1">
      <alignment horizontal="center" vertical="center"/>
    </xf>
    <xf numFmtId="0" fontId="0" fillId="18" borderId="7" xfId="0" applyFont="1" applyFill="1" applyBorder="1" applyAlignment="1">
      <alignment horizontal="center" vertical="center"/>
    </xf>
    <xf numFmtId="0" fontId="0" fillId="18" borderId="10" xfId="0" applyFont="1" applyFill="1" applyBorder="1" applyAlignment="1">
      <alignment horizontal="center" vertical="center"/>
    </xf>
    <xf numFmtId="0" fontId="0" fillId="18" borderId="11" xfId="0" applyFont="1" applyFill="1" applyBorder="1" applyAlignment="1">
      <alignment horizontal="center" vertical="center"/>
    </xf>
    <xf numFmtId="0" fontId="0" fillId="18" borderId="13" xfId="0" applyFont="1" applyFill="1" applyBorder="1" applyAlignment="1">
      <alignment horizontal="center" vertical="center"/>
    </xf>
    <xf numFmtId="0" fontId="0" fillId="25" borderId="0" xfId="0" applyFont="1" applyFill="1" applyBorder="1" applyAlignment="1">
      <alignment horizontal="center" vertical="center"/>
    </xf>
    <xf numFmtId="0" fontId="0" fillId="25" borderId="11" xfId="0" applyFont="1" applyFill="1" applyBorder="1" applyAlignment="1">
      <alignment horizontal="center" vertical="center"/>
    </xf>
    <xf numFmtId="0" fontId="0" fillId="25" borderId="12" xfId="0" applyFont="1" applyFill="1" applyBorder="1" applyAlignment="1">
      <alignment horizontal="center" vertical="center"/>
    </xf>
    <xf numFmtId="0" fontId="0" fillId="25" borderId="13" xfId="0" applyFont="1" applyFill="1" applyBorder="1" applyAlignment="1">
      <alignment horizontal="center" vertical="center"/>
    </xf>
    <xf numFmtId="0" fontId="0" fillId="25" borderId="10" xfId="0" applyFont="1" applyFill="1" applyBorder="1" applyAlignment="1">
      <alignment horizontal="center" vertical="center"/>
    </xf>
    <xf numFmtId="0" fontId="0" fillId="25" borderId="8" xfId="0" applyFont="1" applyFill="1" applyBorder="1" applyAlignment="1">
      <alignment horizontal="center" vertical="center"/>
    </xf>
    <xf numFmtId="0" fontId="0" fillId="25" borderId="9" xfId="0" applyFont="1" applyFill="1" applyBorder="1" applyAlignment="1">
      <alignment horizontal="center" vertical="center"/>
    </xf>
    <xf numFmtId="0" fontId="0" fillId="25" borderId="6" xfId="0" applyFont="1" applyFill="1" applyBorder="1" applyAlignment="1">
      <alignment horizontal="center" vertical="center"/>
    </xf>
    <xf numFmtId="0" fontId="0" fillId="25" borderId="0" xfId="0" applyNumberFormat="1" applyFont="1" applyFill="1" applyBorder="1" applyAlignment="1">
      <alignment horizontal="center" vertical="center"/>
    </xf>
    <xf numFmtId="0" fontId="4" fillId="25" borderId="11" xfId="5" applyNumberFormat="1" applyFont="1" applyFill="1" applyBorder="1" applyAlignment="1">
      <alignment horizontal="center" vertical="center"/>
    </xf>
    <xf numFmtId="0" fontId="4" fillId="25" borderId="11" xfId="4" applyNumberFormat="1" applyFont="1" applyFill="1" applyBorder="1" applyAlignment="1">
      <alignment horizontal="center" vertical="center"/>
    </xf>
    <xf numFmtId="0" fontId="4" fillId="25" borderId="11" xfId="3" applyNumberFormat="1" applyFont="1" applyFill="1" applyBorder="1" applyAlignment="1">
      <alignment horizontal="center" vertical="center"/>
    </xf>
    <xf numFmtId="2" fontId="4" fillId="25" borderId="0" xfId="5" applyNumberFormat="1" applyFont="1" applyFill="1" applyBorder="1" applyAlignment="1">
      <alignment horizontal="center" vertical="center"/>
    </xf>
    <xf numFmtId="0" fontId="4" fillId="25" borderId="0" xfId="0" applyFont="1" applyFill="1" applyBorder="1" applyAlignment="1">
      <alignment horizontal="center" vertical="center"/>
    </xf>
    <xf numFmtId="174" fontId="4" fillId="25" borderId="0" xfId="0" applyNumberFormat="1" applyFont="1" applyFill="1" applyBorder="1" applyAlignment="1">
      <alignment horizontal="center" vertical="center"/>
    </xf>
    <xf numFmtId="168" fontId="0" fillId="25" borderId="0" xfId="0" applyNumberFormat="1" applyFont="1" applyFill="1" applyBorder="1" applyAlignment="1">
      <alignment horizontal="center" vertical="center"/>
    </xf>
    <xf numFmtId="0" fontId="0" fillId="25" borderId="7" xfId="0" applyFont="1" applyFill="1" applyBorder="1" applyAlignment="1">
      <alignment horizontal="center" vertical="center"/>
    </xf>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25" fillId="0" borderId="0" xfId="5"/>
    <xf numFmtId="0" fontId="7" fillId="3" borderId="14" xfId="0" applyFont="1" applyFill="1" applyBorder="1"/>
    <xf numFmtId="1" fontId="4" fillId="0" borderId="21" xfId="5" applyNumberFormat="1" applyFont="1" applyBorder="1"/>
    <xf numFmtId="1" fontId="4" fillId="0" borderId="22" xfId="5" applyNumberFormat="1" applyFont="1" applyBorder="1"/>
    <xf numFmtId="1" fontId="4" fillId="0" borderId="8" xfId="5" applyNumberFormat="1" applyFont="1" applyBorder="1"/>
    <xf numFmtId="1" fontId="4" fillId="0" borderId="9" xfId="5" applyNumberFormat="1" applyFont="1" applyBorder="1"/>
    <xf numFmtId="1" fontId="4" fillId="0" borderId="10" xfId="5" applyNumberFormat="1" applyFont="1" applyBorder="1"/>
    <xf numFmtId="1" fontId="4" fillId="0" borderId="23" xfId="5" applyNumberFormat="1" applyFont="1" applyBorder="1"/>
    <xf numFmtId="9" fontId="4" fillId="0" borderId="21" xfId="3" applyFont="1" applyBorder="1"/>
    <xf numFmtId="9" fontId="4" fillId="0" borderId="22" xfId="3" applyFont="1" applyBorder="1"/>
    <xf numFmtId="9" fontId="4" fillId="0" borderId="23" xfId="3" applyFont="1" applyBorder="1"/>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6" xfId="0" applyFont="1" applyFill="1" applyBorder="1" applyAlignment="1">
      <alignment horizontal="center" vertical="center"/>
    </xf>
    <xf numFmtId="0" fontId="0" fillId="13" borderId="22" xfId="0" applyFill="1" applyBorder="1"/>
    <xf numFmtId="0" fontId="25" fillId="13" borderId="23" xfId="5" applyFill="1" applyBorder="1"/>
    <xf numFmtId="0" fontId="11" fillId="3" borderId="22" xfId="0" applyFont="1" applyFill="1" applyBorder="1"/>
    <xf numFmtId="0" fontId="11" fillId="3" borderId="23" xfId="0" applyFont="1" applyFill="1" applyBorder="1"/>
    <xf numFmtId="0" fontId="0" fillId="9" borderId="0" xfId="0" applyFill="1"/>
    <xf numFmtId="4" fontId="2" fillId="0" borderId="31" xfId="0" applyNumberFormat="1" applyFont="1" applyFill="1" applyBorder="1" applyAlignment="1">
      <alignment horizontal="center" vertical="center"/>
    </xf>
    <xf numFmtId="9" fontId="4" fillId="0" borderId="0" xfId="3" applyFont="1" applyFill="1" applyBorder="1" applyAlignment="1">
      <alignment horizontal="center" vertical="center"/>
    </xf>
    <xf numFmtId="1" fontId="3" fillId="0" borderId="31" xfId="0" applyNumberFormat="1" applyFont="1" applyFill="1" applyBorder="1" applyAlignment="1">
      <alignment horizontal="center" vertical="center"/>
    </xf>
    <xf numFmtId="9" fontId="3" fillId="0" borderId="31" xfId="3" applyFont="1" applyFill="1" applyBorder="1" applyAlignment="1">
      <alignment horizontal="center" vertical="center"/>
    </xf>
    <xf numFmtId="168" fontId="3" fillId="0" borderId="31" xfId="0" applyNumberFormat="1" applyFont="1" applyFill="1" applyBorder="1" applyAlignment="1">
      <alignment horizontal="center" vertical="center"/>
    </xf>
    <xf numFmtId="1" fontId="4" fillId="0" borderId="0" xfId="0" applyNumberFormat="1" applyFont="1" applyBorder="1" applyAlignment="1">
      <alignment horizontal="center" vertical="center"/>
    </xf>
    <xf numFmtId="173" fontId="4" fillId="0" borderId="0" xfId="0" applyNumberFormat="1" applyFont="1" applyBorder="1" applyAlignment="1">
      <alignment horizontal="center" vertical="center"/>
    </xf>
    <xf numFmtId="2" fontId="3" fillId="0" borderId="31"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1" fontId="4" fillId="2" borderId="14" xfId="0"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73" fontId="3" fillId="0" borderId="0"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33" xfId="0" applyNumberFormat="1" applyFont="1" applyFill="1" applyBorder="1" applyAlignment="1">
      <alignment horizontal="center" vertical="center"/>
    </xf>
    <xf numFmtId="165" fontId="3" fillId="0" borderId="31" xfId="3" applyNumberFormat="1" applyFont="1" applyFill="1" applyBorder="1" applyAlignment="1">
      <alignment horizontal="center" vertical="center"/>
    </xf>
    <xf numFmtId="1" fontId="3" fillId="2" borderId="28"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168" fontId="4" fillId="0" borderId="0" xfId="0" applyNumberFormat="1" applyFont="1" applyFill="1" applyBorder="1" applyAlignment="1">
      <alignment horizontal="center" vertical="center"/>
    </xf>
    <xf numFmtId="167" fontId="3" fillId="0" borderId="31" xfId="0" applyNumberFormat="1" applyFont="1" applyFill="1" applyBorder="1" applyAlignment="1">
      <alignment horizontal="center" vertical="center"/>
    </xf>
    <xf numFmtId="9" fontId="3" fillId="0" borderId="0" xfId="0" applyNumberFormat="1" applyFont="1" applyFill="1" applyBorder="1" applyAlignment="1">
      <alignment horizontal="center" vertical="center"/>
    </xf>
    <xf numFmtId="173"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9" fontId="3" fillId="0" borderId="0" xfId="3" applyFont="1" applyFill="1" applyBorder="1" applyAlignment="1">
      <alignment horizontal="center" vertical="center"/>
    </xf>
    <xf numFmtId="9" fontId="4" fillId="2" borderId="15" xfId="3" applyFont="1" applyFill="1" applyBorder="1" applyAlignment="1">
      <alignment horizontal="center" vertical="center"/>
    </xf>
    <xf numFmtId="9" fontId="4" fillId="2" borderId="14" xfId="3" applyFont="1" applyFill="1" applyBorder="1" applyAlignment="1">
      <alignment horizontal="center" vertical="center"/>
    </xf>
    <xf numFmtId="168" fontId="4" fillId="0" borderId="6" xfId="0" applyNumberFormat="1" applyFont="1" applyFill="1" applyBorder="1" applyAlignment="1">
      <alignment horizontal="center" vertical="center"/>
    </xf>
    <xf numFmtId="168" fontId="4" fillId="2" borderId="14" xfId="0" applyNumberFormat="1" applyFont="1" applyFill="1" applyBorder="1" applyAlignment="1">
      <alignment horizontal="center" vertical="center"/>
    </xf>
    <xf numFmtId="168" fontId="4" fillId="2" borderId="15" xfId="0" applyNumberFormat="1" applyFont="1" applyFill="1" applyBorder="1" applyAlignment="1">
      <alignment horizontal="center" vertical="center"/>
    </xf>
    <xf numFmtId="168" fontId="4" fillId="2" borderId="16" xfId="0" applyNumberFormat="1" applyFont="1" applyFill="1" applyBorder="1" applyAlignment="1">
      <alignment horizontal="center" vertical="center"/>
    </xf>
    <xf numFmtId="0" fontId="3" fillId="0" borderId="0" xfId="0" applyFont="1" applyFill="1" applyBorder="1" applyAlignment="1">
      <alignment horizontal="center" vertical="center"/>
    </xf>
    <xf numFmtId="173" fontId="4" fillId="2" borderId="14" xfId="0" applyNumberFormat="1" applyFont="1" applyFill="1" applyBorder="1" applyAlignment="1">
      <alignment horizontal="center" vertical="center"/>
    </xf>
    <xf numFmtId="2" fontId="4" fillId="2" borderId="14" xfId="0" applyNumberFormat="1" applyFont="1" applyFill="1" applyBorder="1" applyAlignment="1">
      <alignment horizontal="center" vertical="center"/>
    </xf>
    <xf numFmtId="173" fontId="4" fillId="2" borderId="15"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xf>
    <xf numFmtId="1" fontId="4" fillId="2" borderId="15" xfId="0" applyNumberFormat="1" applyFont="1" applyFill="1" applyBorder="1" applyAlignment="1">
      <alignment horizontal="center" vertical="center"/>
    </xf>
    <xf numFmtId="0" fontId="4" fillId="0" borderId="0" xfId="0" applyFont="1" applyFill="1" applyAlignment="1">
      <alignment horizontal="center" vertical="center"/>
    </xf>
    <xf numFmtId="173"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165" fontId="4" fillId="0" borderId="0" xfId="0" applyNumberFormat="1" applyFont="1" applyFill="1" applyAlignment="1">
      <alignment horizontal="center" vertical="center"/>
    </xf>
    <xf numFmtId="173" fontId="4" fillId="0" borderId="4" xfId="0" applyNumberFormat="1" applyFont="1" applyFill="1" applyBorder="1" applyAlignment="1">
      <alignment horizontal="center" vertical="center"/>
    </xf>
    <xf numFmtId="168" fontId="4" fillId="0" borderId="4" xfId="0" applyNumberFormat="1" applyFont="1" applyFill="1" applyBorder="1" applyAlignment="1">
      <alignment horizontal="center" vertical="center"/>
    </xf>
    <xf numFmtId="9" fontId="4" fillId="0" borderId="4" xfId="3" applyFont="1" applyFill="1" applyBorder="1" applyAlignment="1">
      <alignment horizontal="center" vertical="center"/>
    </xf>
    <xf numFmtId="168" fontId="4" fillId="0" borderId="19" xfId="0"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73" fontId="3" fillId="0" borderId="31" xfId="0" applyNumberFormat="1" applyFont="1" applyFill="1" applyBorder="1" applyAlignment="1">
      <alignment horizontal="center" vertical="center"/>
    </xf>
    <xf numFmtId="165" fontId="3" fillId="0" borderId="34" xfId="3" applyNumberFormat="1" applyFont="1" applyFill="1" applyBorder="1" applyAlignment="1">
      <alignment horizontal="center" vertical="center"/>
    </xf>
    <xf numFmtId="165" fontId="4" fillId="0" borderId="12" xfId="3"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22" xfId="3" applyNumberFormat="1" applyFont="1" applyFill="1" applyBorder="1" applyAlignment="1">
      <alignment horizontal="center" vertical="center"/>
    </xf>
    <xf numFmtId="1" fontId="3" fillId="0" borderId="22" xfId="0" applyNumberFormat="1" applyFont="1" applyFill="1" applyBorder="1" applyAlignment="1">
      <alignment horizontal="center" vertical="center"/>
    </xf>
    <xf numFmtId="173" fontId="3" fillId="0" borderId="22" xfId="0" applyNumberFormat="1" applyFont="1" applyFill="1" applyBorder="1" applyAlignment="1">
      <alignment horizontal="center" vertical="center"/>
    </xf>
    <xf numFmtId="165" fontId="4" fillId="0" borderId="0" xfId="3" applyNumberFormat="1" applyFont="1" applyFill="1" applyAlignment="1">
      <alignment horizontal="center" vertical="center"/>
    </xf>
    <xf numFmtId="0" fontId="20" fillId="7" borderId="9" xfId="0" applyFont="1" applyFill="1" applyBorder="1" applyAlignment="1">
      <alignment horizontal="center" vertical="center"/>
    </xf>
    <xf numFmtId="3" fontId="46" fillId="7" borderId="12" xfId="0" applyNumberFormat="1" applyFont="1" applyFill="1" applyBorder="1" applyAlignment="1">
      <alignment horizontal="center" vertical="center"/>
    </xf>
    <xf numFmtId="165" fontId="46" fillId="7" borderId="12" xfId="3" applyNumberFormat="1" applyFont="1" applyFill="1" applyBorder="1" applyAlignment="1">
      <alignment horizontal="center" vertical="center"/>
    </xf>
    <xf numFmtId="0" fontId="46" fillId="7" borderId="12" xfId="0" applyFont="1" applyFill="1" applyBorder="1" applyAlignment="1">
      <alignment horizontal="center" vertical="center"/>
    </xf>
    <xf numFmtId="9" fontId="46" fillId="7" borderId="12" xfId="3" applyFont="1" applyFill="1" applyBorder="1" applyAlignment="1">
      <alignment horizontal="center" vertical="center"/>
    </xf>
    <xf numFmtId="173" fontId="46" fillId="7" borderId="12" xfId="0" applyNumberFormat="1" applyFont="1" applyFill="1" applyBorder="1" applyAlignment="1">
      <alignment horizontal="center" vertical="center"/>
    </xf>
    <xf numFmtId="3" fontId="46" fillId="7" borderId="12" xfId="3" applyNumberFormat="1" applyFont="1" applyFill="1" applyBorder="1" applyAlignment="1">
      <alignment horizontal="center" vertical="center"/>
    </xf>
    <xf numFmtId="165" fontId="46" fillId="7" borderId="12" xfId="0" applyNumberFormat="1" applyFont="1" applyFill="1" applyBorder="1" applyAlignment="1">
      <alignment horizontal="center" vertical="center"/>
    </xf>
    <xf numFmtId="0" fontId="46" fillId="7" borderId="7" xfId="0" applyFont="1" applyFill="1" applyBorder="1" applyAlignment="1">
      <alignment horizontal="center" vertical="center"/>
    </xf>
    <xf numFmtId="165" fontId="46" fillId="7" borderId="13" xfId="3" applyNumberFormat="1" applyFont="1" applyFill="1" applyBorder="1" applyAlignment="1">
      <alignment horizontal="center" vertical="center"/>
    </xf>
    <xf numFmtId="1" fontId="3" fillId="0" borderId="34" xfId="0" applyNumberFormat="1" applyFont="1" applyFill="1" applyBorder="1" applyAlignment="1">
      <alignment horizontal="center" vertical="center"/>
    </xf>
    <xf numFmtId="0" fontId="3" fillId="0" borderId="0" xfId="0" applyFont="1" applyFill="1" applyBorder="1" applyAlignment="1">
      <alignment vertical="center" wrapText="1"/>
    </xf>
    <xf numFmtId="0" fontId="43" fillId="0" borderId="0" xfId="0" applyFont="1" applyFill="1" applyAlignment="1">
      <alignment horizontal="left" vertical="center"/>
    </xf>
    <xf numFmtId="0" fontId="0" fillId="0" borderId="29" xfId="0" applyBorder="1"/>
    <xf numFmtId="0" fontId="0" fillId="0" borderId="46" xfId="0" applyBorder="1"/>
    <xf numFmtId="0" fontId="0" fillId="0" borderId="29" xfId="0" applyFill="1" applyBorder="1"/>
    <xf numFmtId="0" fontId="0" fillId="0" borderId="46" xfId="0" applyFill="1" applyBorder="1"/>
    <xf numFmtId="0" fontId="0" fillId="0" borderId="51" xfId="0" applyBorder="1"/>
    <xf numFmtId="0" fontId="0" fillId="0" borderId="61" xfId="0" applyBorder="1"/>
    <xf numFmtId="0" fontId="22" fillId="0" borderId="0" xfId="0" applyFont="1"/>
    <xf numFmtId="9" fontId="0" fillId="0" borderId="9" xfId="3" applyFont="1" applyBorder="1"/>
    <xf numFmtId="9" fontId="0" fillId="0" borderId="10" xfId="3" applyFont="1" applyBorder="1"/>
    <xf numFmtId="9" fontId="0" fillId="0" borderId="0" xfId="3" applyFont="1" applyBorder="1"/>
    <xf numFmtId="9" fontId="0" fillId="0" borderId="11" xfId="3" applyFont="1" applyBorder="1"/>
    <xf numFmtId="9" fontId="0" fillId="0" borderId="12" xfId="3" applyFont="1" applyBorder="1"/>
    <xf numFmtId="9" fontId="0" fillId="0" borderId="13" xfId="3" applyFont="1" applyBorder="1"/>
    <xf numFmtId="0" fontId="2" fillId="0" borderId="51" xfId="0" applyFont="1" applyBorder="1"/>
    <xf numFmtId="0" fontId="2" fillId="0" borderId="61" xfId="0" applyFont="1" applyBorder="1"/>
    <xf numFmtId="2" fontId="0" fillId="0" borderId="9" xfId="3" applyNumberFormat="1" applyFont="1" applyBorder="1"/>
    <xf numFmtId="2" fontId="0" fillId="0" borderId="10" xfId="3" applyNumberFormat="1" applyFont="1" applyBorder="1"/>
    <xf numFmtId="2" fontId="0" fillId="0" borderId="0" xfId="3" applyNumberFormat="1" applyFont="1" applyBorder="1"/>
    <xf numFmtId="2" fontId="0" fillId="0" borderId="11" xfId="3" applyNumberFormat="1" applyFont="1" applyBorder="1"/>
    <xf numFmtId="2" fontId="0" fillId="0" borderId="12" xfId="3" applyNumberFormat="1" applyFont="1" applyBorder="1"/>
    <xf numFmtId="2" fontId="0" fillId="0" borderId="13" xfId="3" applyNumberFormat="1" applyFont="1" applyBorder="1"/>
    <xf numFmtId="0" fontId="0" fillId="0" borderId="25" xfId="0" applyBorder="1"/>
    <xf numFmtId="0" fontId="0" fillId="0" borderId="15" xfId="0" applyFill="1" applyBorder="1"/>
    <xf numFmtId="0" fontId="0" fillId="0" borderId="16" xfId="0" applyFill="1" applyBorder="1"/>
    <xf numFmtId="2" fontId="0" fillId="0" borderId="7" xfId="0" applyNumberFormat="1" applyBorder="1"/>
    <xf numFmtId="2" fontId="0" fillId="0" borderId="12" xfId="0" applyNumberFormat="1" applyBorder="1"/>
    <xf numFmtId="2" fontId="0" fillId="0" borderId="13" xfId="0" applyNumberFormat="1" applyBorder="1"/>
    <xf numFmtId="170" fontId="0" fillId="0" borderId="9" xfId="4" applyNumberFormat="1" applyFont="1" applyBorder="1"/>
    <xf numFmtId="170" fontId="0" fillId="0" borderId="10" xfId="4" applyNumberFormat="1" applyFont="1" applyBorder="1"/>
    <xf numFmtId="9" fontId="0" fillId="0" borderId="29" xfId="0" applyNumberFormat="1" applyFont="1" applyFill="1" applyBorder="1" applyAlignment="1">
      <alignment horizontal="left" vertical="center"/>
    </xf>
    <xf numFmtId="164" fontId="0" fillId="0" borderId="9" xfId="4" applyNumberFormat="1" applyFont="1" applyBorder="1"/>
    <xf numFmtId="164" fontId="0" fillId="0" borderId="10" xfId="4" applyNumberFormat="1" applyFont="1" applyBorder="1"/>
    <xf numFmtId="164" fontId="0" fillId="0" borderId="0" xfId="4" applyNumberFormat="1" applyFont="1" applyBorder="1" applyAlignment="1">
      <alignment horizontal="right"/>
    </xf>
    <xf numFmtId="164" fontId="0" fillId="0" borderId="11" xfId="4" applyNumberFormat="1" applyFont="1" applyBorder="1" applyAlignment="1">
      <alignment horizontal="right"/>
    </xf>
    <xf numFmtId="164" fontId="0" fillId="0" borderId="0" xfId="4" applyNumberFormat="1" applyFont="1" applyBorder="1"/>
    <xf numFmtId="164" fontId="0" fillId="0" borderId="11" xfId="4" applyNumberFormat="1" applyFont="1" applyBorder="1"/>
    <xf numFmtId="9" fontId="0" fillId="0" borderId="46" xfId="0" applyNumberFormat="1" applyFont="1" applyFill="1" applyBorder="1" applyAlignment="1">
      <alignment horizontal="left" vertical="center"/>
    </xf>
    <xf numFmtId="164" fontId="0" fillId="0" borderId="12" xfId="4" applyNumberFormat="1" applyFont="1" applyBorder="1"/>
    <xf numFmtId="164" fontId="0" fillId="0" borderId="13" xfId="4" applyNumberFormat="1" applyFont="1" applyBorder="1"/>
    <xf numFmtId="0" fontId="2" fillId="0" borderId="47" xfId="0" applyFont="1" applyBorder="1"/>
    <xf numFmtId="0" fontId="2" fillId="0" borderId="57" xfId="0" applyFont="1" applyBorder="1"/>
    <xf numFmtId="0" fontId="2" fillId="0" borderId="55" xfId="0" applyFont="1" applyBorder="1"/>
    <xf numFmtId="0" fontId="2" fillId="0" borderId="56" xfId="0" applyFont="1" applyBorder="1"/>
    <xf numFmtId="2" fontId="0" fillId="0" borderId="9" xfId="4" applyNumberFormat="1" applyFont="1" applyBorder="1"/>
    <xf numFmtId="2" fontId="0" fillId="0" borderId="10" xfId="4" applyNumberFormat="1" applyFont="1" applyBorder="1"/>
    <xf numFmtId="2" fontId="0" fillId="0" borderId="0" xfId="4" applyNumberFormat="1" applyFont="1" applyBorder="1" applyAlignment="1">
      <alignment horizontal="right"/>
    </xf>
    <xf numFmtId="2" fontId="0" fillId="0" borderId="11" xfId="4" applyNumberFormat="1" applyFont="1" applyBorder="1" applyAlignment="1">
      <alignment horizontal="right"/>
    </xf>
    <xf numFmtId="2" fontId="0" fillId="0" borderId="12" xfId="4" applyNumberFormat="1" applyFont="1" applyBorder="1" applyAlignment="1">
      <alignment horizontal="right"/>
    </xf>
    <xf numFmtId="2" fontId="0" fillId="0" borderId="13" xfId="4" applyNumberFormat="1" applyFont="1" applyBorder="1" applyAlignment="1">
      <alignment horizontal="right"/>
    </xf>
    <xf numFmtId="2" fontId="0" fillId="0" borderId="9" xfId="4" applyNumberFormat="1" applyFont="1" applyBorder="1" applyAlignment="1">
      <alignment horizontal="right"/>
    </xf>
    <xf numFmtId="2" fontId="0" fillId="0" borderId="10" xfId="4" applyNumberFormat="1" applyFont="1" applyBorder="1" applyAlignment="1">
      <alignment horizontal="right"/>
    </xf>
    <xf numFmtId="2" fontId="0" fillId="0" borderId="11" xfId="0" applyNumberFormat="1" applyFill="1" applyBorder="1" applyAlignment="1"/>
    <xf numFmtId="2" fontId="0" fillId="0" borderId="9" xfId="0" applyNumberFormat="1" applyBorder="1"/>
    <xf numFmtId="2" fontId="0" fillId="0" borderId="10" xfId="0" applyNumberFormat="1" applyBorder="1"/>
    <xf numFmtId="164" fontId="0" fillId="0" borderId="12" xfId="0" applyNumberFormat="1" applyBorder="1"/>
    <xf numFmtId="164" fontId="0" fillId="0" borderId="13" xfId="0" applyNumberFormat="1" applyBorder="1"/>
    <xf numFmtId="164" fontId="0" fillId="0" borderId="9" xfId="0" applyNumberFormat="1" applyBorder="1"/>
    <xf numFmtId="164" fontId="0" fillId="0" borderId="10" xfId="0" applyNumberFormat="1" applyBorder="1"/>
    <xf numFmtId="164" fontId="0" fillId="0" borderId="11" xfId="0" applyNumberFormat="1" applyBorder="1"/>
    <xf numFmtId="9" fontId="0" fillId="0" borderId="35" xfId="0" applyNumberFormat="1" applyFont="1" applyFill="1" applyBorder="1" applyAlignment="1">
      <alignment horizontal="left" vertical="center"/>
    </xf>
    <xf numFmtId="9" fontId="0" fillId="0" borderId="15" xfId="0" applyNumberFormat="1" applyFont="1" applyFill="1" applyBorder="1" applyAlignment="1">
      <alignment horizontal="left" vertical="center"/>
    </xf>
    <xf numFmtId="9" fontId="0" fillId="0" borderId="15" xfId="0" applyNumberFormat="1" applyFont="1" applyFill="1" applyBorder="1" applyAlignment="1">
      <alignment horizontal="left" vertical="center" wrapText="1"/>
    </xf>
    <xf numFmtId="9" fontId="0" fillId="0" borderId="25" xfId="0" applyNumberFormat="1" applyFont="1" applyFill="1" applyBorder="1" applyAlignment="1">
      <alignment horizontal="left" vertical="center"/>
    </xf>
    <xf numFmtId="164" fontId="0" fillId="0" borderId="6" xfId="4" applyNumberFormat="1" applyFont="1" applyBorder="1"/>
    <xf numFmtId="2" fontId="0" fillId="0" borderId="6" xfId="4" applyNumberFormat="1" applyFont="1" applyBorder="1"/>
    <xf numFmtId="2" fontId="0" fillId="0" borderId="0" xfId="4" applyNumberFormat="1" applyFont="1" applyBorder="1"/>
    <xf numFmtId="2" fontId="0" fillId="0" borderId="11" xfId="4" applyNumberFormat="1" applyFont="1" applyBorder="1"/>
    <xf numFmtId="2" fontId="0" fillId="0" borderId="6" xfId="4" applyNumberFormat="1" applyFont="1" applyBorder="1" applyAlignment="1">
      <alignment horizontal="right"/>
    </xf>
    <xf numFmtId="164" fontId="0" fillId="0" borderId="6" xfId="0" applyNumberFormat="1" applyBorder="1"/>
    <xf numFmtId="164" fontId="0" fillId="0" borderId="7" xfId="0" applyNumberFormat="1" applyBorder="1"/>
    <xf numFmtId="0" fontId="0" fillId="29" borderId="62" xfId="0" applyFont="1" applyFill="1" applyBorder="1"/>
    <xf numFmtId="0" fontId="2" fillId="29" borderId="44" xfId="0" applyFont="1" applyFill="1" applyBorder="1"/>
    <xf numFmtId="0" fontId="0" fillId="29" borderId="44" xfId="0" applyFont="1" applyFill="1" applyBorder="1"/>
    <xf numFmtId="0" fontId="0" fillId="29" borderId="63" xfId="0" applyFont="1" applyFill="1" applyBorder="1"/>
    <xf numFmtId="0" fontId="2" fillId="29" borderId="62" xfId="0" applyFont="1" applyFill="1" applyBorder="1"/>
    <xf numFmtId="0" fontId="2" fillId="29" borderId="44" xfId="0" applyFont="1" applyFill="1" applyBorder="1" applyAlignment="1">
      <alignment wrapText="1"/>
    </xf>
    <xf numFmtId="0" fontId="2" fillId="29" borderId="63" xfId="0" applyFont="1" applyFill="1" applyBorder="1"/>
    <xf numFmtId="0" fontId="0" fillId="29" borderId="62" xfId="0" applyFill="1" applyBorder="1"/>
    <xf numFmtId="0" fontId="2" fillId="29" borderId="44" xfId="0" applyFont="1" applyFill="1" applyBorder="1" applyAlignment="1"/>
    <xf numFmtId="0" fontId="0" fillId="29" borderId="44" xfId="0" applyFill="1" applyBorder="1"/>
    <xf numFmtId="0" fontId="0" fillId="29" borderId="63" xfId="0" applyFill="1" applyBorder="1"/>
    <xf numFmtId="9" fontId="0" fillId="0" borderId="53" xfId="0" applyNumberFormat="1" applyFont="1" applyFill="1" applyBorder="1" applyAlignment="1">
      <alignment horizontal="left" vertical="center"/>
    </xf>
    <xf numFmtId="0" fontId="0" fillId="0" borderId="53" xfId="0" applyNumberFormat="1" applyFill="1" applyBorder="1" applyAlignment="1">
      <alignment horizontal="left" vertical="center" wrapText="1"/>
    </xf>
    <xf numFmtId="9" fontId="10" fillId="0" borderId="60" xfId="0" applyNumberFormat="1" applyFont="1" applyFill="1" applyBorder="1" applyAlignment="1">
      <alignment horizontal="left" vertical="center"/>
    </xf>
    <xf numFmtId="9" fontId="0" fillId="0" borderId="58" xfId="0" applyNumberFormat="1" applyFont="1" applyFill="1" applyBorder="1" applyAlignment="1">
      <alignment horizontal="left" vertical="center"/>
    </xf>
    <xf numFmtId="9" fontId="0" fillId="0" borderId="53" xfId="0" applyNumberFormat="1" applyFont="1" applyFill="1" applyBorder="1" applyAlignment="1">
      <alignment horizontal="left" vertical="center" wrapText="1"/>
    </xf>
    <xf numFmtId="164" fontId="0" fillId="0" borderId="0" xfId="0" applyNumberFormat="1" applyBorder="1" applyAlignment="1">
      <alignment horizontal="right"/>
    </xf>
    <xf numFmtId="9" fontId="0" fillId="0" borderId="60" xfId="0" applyNumberFormat="1" applyFont="1" applyFill="1" applyBorder="1" applyAlignment="1">
      <alignment horizontal="left" vertical="center"/>
    </xf>
    <xf numFmtId="0" fontId="0" fillId="0" borderId="60" xfId="0" applyFont="1" applyFill="1" applyBorder="1" applyAlignment="1">
      <alignment horizontal="left" vertical="center"/>
    </xf>
    <xf numFmtId="1" fontId="0" fillId="0" borderId="60" xfId="0" applyNumberFormat="1" applyFill="1" applyBorder="1" applyAlignment="1">
      <alignment horizontal="left" vertical="center"/>
    </xf>
    <xf numFmtId="1" fontId="0" fillId="0" borderId="54" xfId="0" applyNumberFormat="1" applyFill="1" applyBorder="1" applyAlignment="1">
      <alignment horizontal="left" vertical="center"/>
    </xf>
    <xf numFmtId="0" fontId="0" fillId="14" borderId="62" xfId="0" applyFill="1" applyBorder="1"/>
    <xf numFmtId="0" fontId="2" fillId="14" borderId="44" xfId="0" applyFont="1" applyFill="1" applyBorder="1"/>
    <xf numFmtId="0" fontId="0" fillId="14" borderId="44" xfId="0" applyFill="1" applyBorder="1"/>
    <xf numFmtId="0" fontId="0" fillId="14" borderId="63" xfId="0" applyFill="1" applyBorder="1"/>
    <xf numFmtId="3" fontId="0" fillId="0" borderId="9" xfId="0" applyNumberFormat="1" applyBorder="1"/>
    <xf numFmtId="3" fontId="0" fillId="0" borderId="10" xfId="0" applyNumberFormat="1" applyBorder="1"/>
    <xf numFmtId="3" fontId="0" fillId="0" borderId="11" xfId="0" applyNumberFormat="1" applyBorder="1"/>
    <xf numFmtId="0" fontId="2" fillId="0" borderId="0" xfId="0" applyFont="1" applyAlignment="1">
      <alignment vertical="center"/>
    </xf>
    <xf numFmtId="3" fontId="0" fillId="0" borderId="64" xfId="0" applyNumberFormat="1" applyBorder="1"/>
    <xf numFmtId="0" fontId="0" fillId="0" borderId="60" xfId="0" applyFill="1" applyBorder="1"/>
    <xf numFmtId="0" fontId="0" fillId="0" borderId="58" xfId="0" applyBorder="1"/>
    <xf numFmtId="0" fontId="0" fillId="0" borderId="53" xfId="0" applyBorder="1"/>
    <xf numFmtId="0" fontId="0" fillId="0" borderId="54" xfId="0" applyBorder="1"/>
    <xf numFmtId="3" fontId="0" fillId="0" borderId="12" xfId="0" applyNumberFormat="1" applyBorder="1"/>
    <xf numFmtId="3" fontId="0" fillId="0" borderId="13" xfId="0" applyNumberFormat="1" applyBorder="1"/>
    <xf numFmtId="0" fontId="0" fillId="0" borderId="15" xfId="0" applyNumberFormat="1" applyFill="1" applyBorder="1" applyAlignment="1">
      <alignment horizontal="left" vertical="center" wrapText="1"/>
    </xf>
    <xf numFmtId="9" fontId="10" fillId="0" borderId="25" xfId="0" applyNumberFormat="1" applyFont="1" applyFill="1" applyBorder="1" applyAlignment="1">
      <alignment horizontal="left" vertical="center"/>
    </xf>
    <xf numFmtId="0" fontId="0" fillId="0" borderId="25" xfId="0" applyFont="1" applyFill="1" applyBorder="1" applyAlignment="1">
      <alignment horizontal="left" vertical="center"/>
    </xf>
    <xf numFmtId="1" fontId="0" fillId="0" borderId="25" xfId="0" applyNumberFormat="1" applyFill="1" applyBorder="1" applyAlignment="1">
      <alignment horizontal="left" vertical="center"/>
    </xf>
    <xf numFmtId="1" fontId="0" fillId="0" borderId="16" xfId="0" applyNumberFormat="1" applyFill="1" applyBorder="1" applyAlignment="1">
      <alignment horizontal="left" vertical="center"/>
    </xf>
    <xf numFmtId="164" fontId="0" fillId="0" borderId="6" xfId="0" applyNumberFormat="1" applyFill="1" applyBorder="1"/>
    <xf numFmtId="164" fontId="0" fillId="0" borderId="11" xfId="0" applyNumberFormat="1" applyFill="1" applyBorder="1"/>
    <xf numFmtId="2" fontId="0" fillId="0" borderId="11" xfId="0" applyNumberFormat="1" applyFill="1" applyBorder="1"/>
    <xf numFmtId="164" fontId="0" fillId="0" borderId="7" xfId="0" applyNumberFormat="1" applyFill="1" applyBorder="1"/>
    <xf numFmtId="164" fontId="0" fillId="0" borderId="12" xfId="0" applyNumberFormat="1" applyFill="1" applyBorder="1"/>
    <xf numFmtId="164" fontId="0" fillId="0" borderId="13" xfId="0" applyNumberFormat="1" applyFill="1" applyBorder="1"/>
    <xf numFmtId="0" fontId="2" fillId="0" borderId="54" xfId="0" applyFont="1" applyBorder="1"/>
    <xf numFmtId="0" fontId="2" fillId="0" borderId="27" xfId="0" applyFont="1" applyBorder="1"/>
    <xf numFmtId="0" fontId="2" fillId="0" borderId="12" xfId="0" applyFont="1" applyBorder="1"/>
    <xf numFmtId="0" fontId="2" fillId="0" borderId="13" xfId="0" applyFont="1" applyBorder="1"/>
    <xf numFmtId="0" fontId="2" fillId="0" borderId="16" xfId="0" applyFont="1" applyBorder="1"/>
    <xf numFmtId="0" fontId="2" fillId="0" borderId="7" xfId="0" applyFont="1" applyBorder="1"/>
    <xf numFmtId="0" fontId="2" fillId="29" borderId="62" xfId="0" applyFont="1" applyFill="1" applyBorder="1" applyAlignment="1"/>
    <xf numFmtId="164" fontId="0" fillId="0" borderId="8" xfId="4" applyNumberFormat="1" applyFont="1" applyBorder="1"/>
    <xf numFmtId="9" fontId="0" fillId="0" borderId="35" xfId="0" applyNumberFormat="1" applyFont="1" applyFill="1" applyBorder="1" applyAlignment="1">
      <alignment horizontal="left" vertical="center" wrapText="1"/>
    </xf>
    <xf numFmtId="164" fontId="0" fillId="0" borderId="0" xfId="0" applyNumberFormat="1" applyFont="1" applyFill="1" applyBorder="1"/>
    <xf numFmtId="164" fontId="0" fillId="11" borderId="0" xfId="0" applyNumberFormat="1" applyFont="1" applyFill="1" applyBorder="1"/>
    <xf numFmtId="164" fontId="0" fillId="0" borderId="6" xfId="0" applyNumberFormat="1" applyFont="1" applyFill="1" applyBorder="1"/>
    <xf numFmtId="164" fontId="0" fillId="0" borderId="11" xfId="0" applyNumberFormat="1" applyFont="1" applyFill="1" applyBorder="1"/>
    <xf numFmtId="164" fontId="0" fillId="11" borderId="11" xfId="0" applyNumberFormat="1" applyFont="1" applyFill="1" applyBorder="1"/>
    <xf numFmtId="2" fontId="0" fillId="0" borderId="11" xfId="0" applyNumberFormat="1" applyFont="1" applyFill="1" applyBorder="1"/>
    <xf numFmtId="164" fontId="0" fillId="0" borderId="7" xfId="0" applyNumberFormat="1" applyFont="1" applyFill="1" applyBorder="1"/>
    <xf numFmtId="164" fontId="0" fillId="0" borderId="12" xfId="0" applyNumberFormat="1" applyFont="1" applyFill="1" applyBorder="1"/>
    <xf numFmtId="164" fontId="0" fillId="0" borderId="13" xfId="0" applyNumberFormat="1" applyFont="1" applyFill="1" applyBorder="1"/>
    <xf numFmtId="2" fontId="0" fillId="0" borderId="6" xfId="4" applyNumberFormat="1" applyFont="1" applyFill="1" applyBorder="1" applyAlignment="1">
      <alignment horizontal="right"/>
    </xf>
    <xf numFmtId="2" fontId="0" fillId="0" borderId="0" xfId="4" applyNumberFormat="1" applyFont="1" applyFill="1" applyBorder="1" applyAlignment="1">
      <alignment horizontal="right"/>
    </xf>
    <xf numFmtId="2" fontId="0" fillId="0" borderId="11" xfId="4" applyNumberFormat="1" applyFont="1" applyFill="1" applyBorder="1" applyAlignment="1">
      <alignment horizontal="right"/>
    </xf>
    <xf numFmtId="2" fontId="0" fillId="0" borderId="6" xfId="0" applyNumberFormat="1" applyFill="1" applyBorder="1"/>
    <xf numFmtId="2" fontId="0" fillId="0" borderId="0" xfId="0" applyNumberFormat="1" applyFill="1" applyBorder="1"/>
    <xf numFmtId="9" fontId="0" fillId="0" borderId="16" xfId="0" applyNumberFormat="1" applyFont="1" applyFill="1" applyBorder="1" applyAlignment="1">
      <alignment horizontal="left" vertical="center"/>
    </xf>
    <xf numFmtId="2" fontId="0" fillId="0" borderId="12" xfId="4" applyNumberFormat="1" applyFont="1" applyFill="1" applyBorder="1" applyAlignment="1">
      <alignment horizontal="right"/>
    </xf>
    <xf numFmtId="165" fontId="0" fillId="0" borderId="11" xfId="0" applyNumberFormat="1" applyFill="1" applyBorder="1" applyAlignment="1">
      <alignment horizontal="center" vertical="center"/>
    </xf>
    <xf numFmtId="0" fontId="25" fillId="0" borderId="0" xfId="5"/>
    <xf numFmtId="9" fontId="0" fillId="15" borderId="3" xfId="3" applyFont="1" applyFill="1" applyBorder="1" applyAlignment="1">
      <alignment horizontal="center" vertical="center"/>
    </xf>
    <xf numFmtId="2" fontId="0" fillId="0" borderId="22" xfId="0" applyNumberFormat="1" applyFont="1" applyFill="1" applyBorder="1" applyAlignment="1">
      <alignment horizontal="center" vertical="center"/>
    </xf>
    <xf numFmtId="2" fontId="0" fillId="0" borderId="9"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3" fontId="4" fillId="12" borderId="0" xfId="0"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167" fontId="4" fillId="0" borderId="0" xfId="0" applyNumberFormat="1" applyFont="1" applyFill="1" applyBorder="1" applyAlignment="1">
      <alignment horizontal="center" vertical="center"/>
    </xf>
    <xf numFmtId="9" fontId="0" fillId="6" borderId="15" xfId="0" applyNumberFormat="1" applyFont="1" applyFill="1" applyBorder="1" applyAlignment="1">
      <alignment horizontal="center" vertical="center"/>
    </xf>
    <xf numFmtId="0" fontId="0" fillId="6" borderId="15" xfId="0" applyNumberFormat="1" applyFont="1" applyFill="1" applyBorder="1" applyAlignment="1">
      <alignment horizontal="center" vertical="center"/>
    </xf>
    <xf numFmtId="1" fontId="0" fillId="6" borderId="15" xfId="0" applyNumberFormat="1" applyFont="1" applyFill="1" applyBorder="1" applyAlignment="1">
      <alignment horizontal="center" vertical="center"/>
    </xf>
    <xf numFmtId="1" fontId="0" fillId="6" borderId="25" xfId="0" applyNumberFormat="1" applyFont="1" applyFill="1" applyBorder="1" applyAlignment="1">
      <alignment horizontal="center" vertical="center"/>
    </xf>
    <xf numFmtId="9" fontId="2" fillId="6" borderId="15" xfId="0" applyNumberFormat="1" applyFont="1" applyFill="1" applyBorder="1" applyAlignment="1">
      <alignment horizontal="center" vertical="center"/>
    </xf>
    <xf numFmtId="1" fontId="0" fillId="8" borderId="11" xfId="0" applyNumberFormat="1" applyFont="1" applyFill="1" applyBorder="1" applyAlignment="1">
      <alignment horizontal="center" vertical="center"/>
    </xf>
    <xf numFmtId="0" fontId="0" fillId="8" borderId="11" xfId="0" applyNumberFormat="1" applyFont="1" applyFill="1" applyBorder="1" applyAlignment="1">
      <alignment horizontal="center" vertical="center"/>
    </xf>
    <xf numFmtId="1" fontId="0" fillId="8" borderId="20" xfId="0" applyNumberFormat="1" applyFont="1" applyFill="1" applyBorder="1" applyAlignment="1">
      <alignment horizontal="center" vertical="center"/>
    </xf>
    <xf numFmtId="9" fontId="0" fillId="11" borderId="25" xfId="0" applyNumberFormat="1" applyFont="1" applyFill="1" applyBorder="1" applyAlignment="1">
      <alignment horizontal="center" vertical="center"/>
    </xf>
    <xf numFmtId="9" fontId="2" fillId="11" borderId="35" xfId="0" applyNumberFormat="1" applyFont="1" applyFill="1" applyBorder="1" applyAlignment="1">
      <alignment horizontal="center" vertical="center"/>
    </xf>
    <xf numFmtId="0" fontId="0" fillId="11" borderId="15" xfId="0" applyNumberFormat="1" applyFont="1" applyFill="1" applyBorder="1" applyAlignment="1">
      <alignment horizontal="center" vertical="center" wrapText="1"/>
    </xf>
    <xf numFmtId="9" fontId="0" fillId="11" borderId="15" xfId="0" applyNumberFormat="1" applyFont="1" applyFill="1" applyBorder="1" applyAlignment="1">
      <alignment horizontal="center" vertical="center"/>
    </xf>
    <xf numFmtId="0" fontId="0" fillId="11" borderId="15" xfId="0" applyNumberFormat="1" applyFont="1" applyFill="1" applyBorder="1" applyAlignment="1">
      <alignment horizontal="center" vertical="center"/>
    </xf>
    <xf numFmtId="9" fontId="2" fillId="11" borderId="24" xfId="0" applyNumberFormat="1" applyFont="1" applyFill="1" applyBorder="1" applyAlignment="1">
      <alignment horizontal="center" vertical="center"/>
    </xf>
    <xf numFmtId="1" fontId="0" fillId="11" borderId="15" xfId="0" applyNumberFormat="1" applyFont="1" applyFill="1" applyBorder="1" applyAlignment="1">
      <alignment horizontal="center" vertical="center"/>
    </xf>
    <xf numFmtId="1" fontId="0" fillId="11" borderId="25" xfId="0" applyNumberFormat="1" applyFont="1" applyFill="1" applyBorder="1" applyAlignment="1">
      <alignment horizontal="center" vertical="center"/>
    </xf>
    <xf numFmtId="9" fontId="2" fillId="11" borderId="15" xfId="0" applyNumberFormat="1" applyFont="1" applyFill="1" applyBorder="1" applyAlignment="1">
      <alignment horizontal="center" vertical="center"/>
    </xf>
    <xf numFmtId="0" fontId="0" fillId="11" borderId="13" xfId="0" applyFont="1" applyFill="1" applyBorder="1" applyAlignment="1">
      <alignment horizontal="center" vertical="center"/>
    </xf>
    <xf numFmtId="0" fontId="0" fillId="6" borderId="15" xfId="0" applyNumberFormat="1" applyFont="1" applyFill="1" applyBorder="1" applyAlignment="1">
      <alignment horizontal="center" vertical="center" wrapText="1"/>
    </xf>
    <xf numFmtId="9" fontId="2" fillId="6" borderId="35" xfId="0" applyNumberFormat="1" applyFont="1" applyFill="1" applyBorder="1" applyAlignment="1">
      <alignment horizontal="center" vertical="center"/>
    </xf>
    <xf numFmtId="9" fontId="2" fillId="6" borderId="24" xfId="0" applyNumberFormat="1" applyFont="1" applyFill="1" applyBorder="1" applyAlignment="1">
      <alignment horizontal="center" vertical="center"/>
    </xf>
    <xf numFmtId="0" fontId="0" fillId="9" borderId="11" xfId="0" applyNumberFormat="1" applyFont="1" applyFill="1" applyBorder="1" applyAlignment="1">
      <alignment horizontal="center" vertical="center" wrapText="1"/>
    </xf>
    <xf numFmtId="9" fontId="2" fillId="9" borderId="34" xfId="0" applyNumberFormat="1" applyFont="1" applyFill="1" applyBorder="1" applyAlignment="1">
      <alignment horizontal="center" vertical="center"/>
    </xf>
    <xf numFmtId="9" fontId="0" fillId="9" borderId="20" xfId="0" applyNumberFormat="1" applyFont="1" applyFill="1" applyBorder="1" applyAlignment="1">
      <alignment horizontal="center" vertical="center"/>
    </xf>
    <xf numFmtId="0" fontId="0" fillId="9" borderId="11" xfId="0" applyNumberFormat="1" applyFont="1" applyFill="1" applyBorder="1" applyAlignment="1">
      <alignment horizontal="center" vertical="center"/>
    </xf>
    <xf numFmtId="1" fontId="0" fillId="9" borderId="11" xfId="0" applyNumberFormat="1" applyFont="1" applyFill="1" applyBorder="1" applyAlignment="1">
      <alignment horizontal="center" vertical="center"/>
    </xf>
    <xf numFmtId="1" fontId="0" fillId="9" borderId="20" xfId="0" applyNumberFormat="1" applyFont="1" applyFill="1" applyBorder="1" applyAlignment="1">
      <alignment horizontal="center" vertical="center"/>
    </xf>
    <xf numFmtId="0" fontId="0" fillId="9" borderId="13" xfId="0" applyFont="1" applyFill="1" applyBorder="1" applyAlignment="1">
      <alignment horizontal="center" vertical="center"/>
    </xf>
    <xf numFmtId="1" fontId="4" fillId="0" borderId="6" xfId="5" applyNumberFormat="1" applyFont="1" applyFill="1" applyBorder="1"/>
    <xf numFmtId="1" fontId="4" fillId="0" borderId="0" xfId="5" applyNumberFormat="1" applyFont="1" applyFill="1" applyBorder="1"/>
    <xf numFmtId="1" fontId="4" fillId="0" borderId="11" xfId="5" applyNumberFormat="1" applyFont="1" applyFill="1" applyBorder="1"/>
    <xf numFmtId="0" fontId="2" fillId="18" borderId="22" xfId="0" applyFont="1" applyFill="1" applyBorder="1" applyAlignment="1">
      <alignment vertical="center"/>
    </xf>
    <xf numFmtId="0" fontId="3" fillId="21" borderId="22" xfId="0" applyFont="1" applyFill="1" applyBorder="1" applyAlignment="1">
      <alignment vertical="center"/>
    </xf>
    <xf numFmtId="1" fontId="0" fillId="0" borderId="0" xfId="3" applyNumberFormat="1" applyFont="1"/>
    <xf numFmtId="2" fontId="4" fillId="14" borderId="48" xfId="5" applyNumberFormat="1" applyFont="1" applyFill="1" applyBorder="1" applyAlignment="1">
      <alignment horizontal="center" vertical="center"/>
    </xf>
    <xf numFmtId="2" fontId="4" fillId="14" borderId="49" xfId="5" applyNumberFormat="1" applyFont="1" applyFill="1" applyBorder="1" applyAlignment="1">
      <alignment horizontal="center" vertical="center"/>
    </xf>
    <xf numFmtId="169" fontId="4" fillId="0" borderId="0" xfId="0" applyNumberFormat="1" applyFont="1" applyFill="1" applyBorder="1" applyAlignment="1">
      <alignment horizontal="left" vertical="center"/>
    </xf>
    <xf numFmtId="169" fontId="4" fillId="0" borderId="31" xfId="0" applyNumberFormat="1" applyFont="1" applyFill="1" applyBorder="1" applyAlignment="1">
      <alignment horizontal="left" vertical="center"/>
    </xf>
    <xf numFmtId="9" fontId="0" fillId="9" borderId="25"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2" fontId="0" fillId="0" borderId="12" xfId="0" applyNumberFormat="1" applyFill="1" applyBorder="1" applyAlignment="1"/>
    <xf numFmtId="0" fontId="0" fillId="0" borderId="12" xfId="0" applyFill="1" applyBorder="1" applyAlignment="1"/>
    <xf numFmtId="0" fontId="0" fillId="0" borderId="13" xfId="0" applyFill="1" applyBorder="1" applyAlignment="1"/>
    <xf numFmtId="9" fontId="47" fillId="2" borderId="15" xfId="2" applyNumberFormat="1" applyFont="1" applyFill="1" applyBorder="1" applyAlignment="1">
      <alignment horizontal="center" vertical="center"/>
    </xf>
    <xf numFmtId="9" fontId="47" fillId="2" borderId="16" xfId="2" applyNumberFormat="1" applyFont="1" applyFill="1" applyBorder="1" applyAlignment="1">
      <alignment horizontal="center" vertical="center"/>
    </xf>
    <xf numFmtId="9" fontId="47" fillId="2" borderId="14" xfId="2" applyNumberFormat="1" applyFont="1" applyFill="1" applyBorder="1" applyAlignment="1">
      <alignment horizontal="center" vertical="center"/>
    </xf>
    <xf numFmtId="9" fontId="47" fillId="12" borderId="36" xfId="2" applyNumberFormat="1" applyFont="1" applyFill="1" applyBorder="1" applyAlignment="1">
      <alignment horizontal="center" vertical="center"/>
    </xf>
    <xf numFmtId="9" fontId="47" fillId="12" borderId="37" xfId="2" applyNumberFormat="1" applyFont="1" applyFill="1" applyBorder="1" applyAlignment="1">
      <alignment horizontal="center" vertical="center"/>
    </xf>
    <xf numFmtId="9" fontId="12" fillId="2" borderId="15" xfId="3" applyFont="1" applyFill="1" applyBorder="1" applyAlignment="1">
      <alignment horizontal="center" vertical="center"/>
    </xf>
    <xf numFmtId="10" fontId="0" fillId="2" borderId="28" xfId="0" applyNumberFormat="1" applyFill="1" applyBorder="1"/>
    <xf numFmtId="9" fontId="0" fillId="2" borderId="8" xfId="0" applyNumberFormat="1" applyFill="1" applyBorder="1" applyProtection="1">
      <protection locked="0"/>
    </xf>
    <xf numFmtId="9" fontId="0" fillId="2" borderId="9" xfId="0" applyNumberFormat="1" applyFill="1" applyBorder="1" applyProtection="1">
      <protection locked="0"/>
    </xf>
    <xf numFmtId="9" fontId="0" fillId="2" borderId="10" xfId="0" applyNumberFormat="1" applyFill="1" applyBorder="1" applyProtection="1">
      <protection locked="0"/>
    </xf>
    <xf numFmtId="9" fontId="0" fillId="2" borderId="6" xfId="0" applyNumberFormat="1" applyFill="1" applyBorder="1" applyProtection="1">
      <protection locked="0"/>
    </xf>
    <xf numFmtId="9" fontId="0" fillId="2" borderId="0" xfId="0" applyNumberFormat="1" applyFill="1" applyBorder="1" applyProtection="1">
      <protection locked="0"/>
    </xf>
    <xf numFmtId="9" fontId="0" fillId="2" borderId="11" xfId="0" applyNumberFormat="1" applyFill="1" applyBorder="1" applyProtection="1">
      <protection locked="0"/>
    </xf>
    <xf numFmtId="9" fontId="0" fillId="2" borderId="7" xfId="0" applyNumberFormat="1" applyFill="1" applyBorder="1" applyProtection="1">
      <protection locked="0"/>
    </xf>
    <xf numFmtId="9" fontId="0" fillId="2" borderId="12" xfId="0" applyNumberFormat="1" applyFill="1" applyBorder="1" applyProtection="1">
      <protection locked="0"/>
    </xf>
    <xf numFmtId="9" fontId="0" fillId="2" borderId="13" xfId="0" applyNumberFormat="1" applyFill="1" applyBorder="1" applyProtection="1">
      <protection locked="0"/>
    </xf>
    <xf numFmtId="4" fontId="12" fillId="2" borderId="14" xfId="0" applyNumberFormat="1" applyFont="1" applyFill="1" applyBorder="1" applyAlignment="1">
      <alignment horizontal="center" vertical="center"/>
    </xf>
    <xf numFmtId="4" fontId="12" fillId="2" borderId="15" xfId="0" applyNumberFormat="1" applyFont="1" applyFill="1" applyBorder="1" applyAlignment="1">
      <alignment horizontal="center" vertical="center"/>
    </xf>
    <xf numFmtId="3" fontId="4" fillId="12" borderId="4" xfId="0" applyNumberFormat="1" applyFont="1" applyFill="1" applyBorder="1" applyAlignment="1">
      <alignment horizontal="center" vertical="center"/>
    </xf>
    <xf numFmtId="0" fontId="45" fillId="7" borderId="21" xfId="0" applyFont="1" applyFill="1" applyBorder="1" applyAlignment="1">
      <alignment horizontal="center" vertical="center"/>
    </xf>
    <xf numFmtId="1" fontId="0" fillId="0" borderId="12" xfId="0" applyNumberFormat="1" applyFont="1" applyBorder="1" applyAlignment="1">
      <alignment horizontal="center" vertical="center"/>
    </xf>
    <xf numFmtId="170" fontId="0" fillId="0" borderId="2" xfId="0" applyNumberFormat="1" applyFont="1" applyFill="1" applyBorder="1" applyAlignment="1">
      <alignment horizontal="center" vertical="center"/>
    </xf>
    <xf numFmtId="170" fontId="0" fillId="0" borderId="65" xfId="0" applyNumberFormat="1" applyFont="1" applyFill="1" applyBorder="1" applyAlignment="1">
      <alignment horizontal="center" vertical="center"/>
    </xf>
    <xf numFmtId="164" fontId="0" fillId="0" borderId="4"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0" fontId="2" fillId="3" borderId="6" xfId="0" applyFont="1" applyFill="1" applyBorder="1" applyAlignment="1">
      <alignment horizontal="left" vertical="center"/>
    </xf>
    <xf numFmtId="0" fontId="2" fillId="3" borderId="0" xfId="0" applyFont="1" applyFill="1" applyBorder="1" applyAlignment="1">
      <alignment horizontal="center" vertical="center"/>
    </xf>
    <xf numFmtId="164" fontId="4" fillId="14" borderId="2" xfId="5" applyNumberFormat="1" applyFont="1" applyFill="1" applyBorder="1" applyAlignment="1">
      <alignment horizontal="center" vertical="center"/>
    </xf>
    <xf numFmtId="164" fontId="4" fillId="14" borderId="0" xfId="5" applyNumberFormat="1" applyFont="1" applyFill="1" applyBorder="1" applyAlignment="1">
      <alignment horizontal="center" vertical="center"/>
    </xf>
    <xf numFmtId="164" fontId="4" fillId="14" borderId="11" xfId="5" applyNumberFormat="1" applyFont="1" applyFill="1" applyBorder="1" applyAlignment="1">
      <alignment horizontal="center" vertical="center"/>
    </xf>
    <xf numFmtId="0" fontId="2" fillId="3" borderId="7" xfId="0" applyFont="1" applyFill="1" applyBorder="1" applyAlignment="1">
      <alignment horizontal="left" vertical="center"/>
    </xf>
    <xf numFmtId="0" fontId="2" fillId="3" borderId="12" xfId="0" applyFont="1" applyFill="1" applyBorder="1" applyAlignment="1">
      <alignment horizontal="center" vertical="center"/>
    </xf>
    <xf numFmtId="0" fontId="2" fillId="3" borderId="22" xfId="0" applyFont="1" applyFill="1" applyBorder="1" applyAlignment="1">
      <alignment horizontal="center" vertical="center"/>
    </xf>
    <xf numFmtId="0" fontId="45" fillId="7" borderId="61" xfId="0" applyFont="1" applyFill="1" applyBorder="1" applyAlignment="1">
      <alignment horizontal="center" vertical="center"/>
    </xf>
    <xf numFmtId="170" fontId="0" fillId="0" borderId="64" xfId="4" applyNumberFormat="1" applyFont="1" applyBorder="1" applyAlignment="1">
      <alignment horizontal="center" vertical="center"/>
    </xf>
    <xf numFmtId="170" fontId="0" fillId="0" borderId="2" xfId="4" applyNumberFormat="1" applyFont="1" applyBorder="1" applyAlignment="1">
      <alignment horizontal="center" vertical="center"/>
    </xf>
    <xf numFmtId="0" fontId="48" fillId="0" borderId="6" xfId="0" applyFont="1" applyFill="1" applyBorder="1" applyAlignment="1">
      <alignment horizontal="center" vertical="center"/>
    </xf>
    <xf numFmtId="176" fontId="4" fillId="0" borderId="2" xfId="5" applyNumberFormat="1" applyFont="1" applyFill="1" applyBorder="1" applyAlignment="1">
      <alignment horizontal="right" vertical="center"/>
    </xf>
    <xf numFmtId="176" fontId="4" fillId="0" borderId="0" xfId="5" applyNumberFormat="1" applyFont="1" applyFill="1" applyBorder="1" applyAlignment="1">
      <alignment horizontal="right" vertical="center"/>
    </xf>
    <xf numFmtId="176" fontId="4" fillId="0" borderId="11" xfId="5" applyNumberFormat="1" applyFont="1" applyFill="1" applyBorder="1" applyAlignment="1">
      <alignment horizontal="right" vertical="center"/>
    </xf>
    <xf numFmtId="0" fontId="48" fillId="0" borderId="7" xfId="0" applyFont="1" applyFill="1" applyBorder="1" applyAlignment="1">
      <alignment horizontal="center" vertical="center"/>
    </xf>
    <xf numFmtId="176" fontId="4" fillId="14" borderId="2" xfId="5" applyNumberFormat="1" applyFont="1" applyFill="1" applyBorder="1" applyAlignment="1">
      <alignment horizontal="right" vertical="center"/>
    </xf>
    <xf numFmtId="176" fontId="4" fillId="14" borderId="0" xfId="5" applyNumberFormat="1" applyFont="1" applyFill="1" applyBorder="1" applyAlignment="1">
      <alignment horizontal="right" vertical="center"/>
    </xf>
    <xf numFmtId="176" fontId="4" fillId="14" borderId="11" xfId="5" applyNumberFormat="1" applyFont="1" applyFill="1" applyBorder="1" applyAlignment="1">
      <alignment horizontal="right" vertical="center"/>
    </xf>
    <xf numFmtId="176" fontId="4" fillId="14" borderId="27" xfId="5" applyNumberFormat="1" applyFont="1" applyFill="1" applyBorder="1" applyAlignment="1">
      <alignment horizontal="right" vertical="center"/>
    </xf>
    <xf numFmtId="176" fontId="4" fillId="14" borderId="12" xfId="5" applyNumberFormat="1" applyFont="1" applyFill="1" applyBorder="1" applyAlignment="1">
      <alignment horizontal="right" vertical="center"/>
    </xf>
    <xf numFmtId="176" fontId="4" fillId="14" borderId="13" xfId="5" applyNumberFormat="1" applyFont="1" applyFill="1" applyBorder="1" applyAlignment="1">
      <alignment horizontal="right" vertical="center"/>
    </xf>
    <xf numFmtId="0" fontId="4" fillId="0" borderId="30" xfId="5" applyFont="1" applyBorder="1" applyAlignment="1">
      <alignment horizontal="center" vertical="center"/>
    </xf>
    <xf numFmtId="1" fontId="4" fillId="0" borderId="64" xfId="5" applyNumberFormat="1" applyFont="1" applyFill="1" applyBorder="1" applyAlignment="1">
      <alignment horizontal="center" vertical="center"/>
    </xf>
    <xf numFmtId="1" fontId="4" fillId="0" borderId="0" xfId="5" applyNumberFormat="1" applyFont="1" applyFill="1" applyBorder="1" applyAlignment="1">
      <alignment horizontal="center" vertical="center"/>
    </xf>
    <xf numFmtId="1" fontId="4" fillId="0" borderId="11" xfId="5"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1" fontId="0" fillId="0" borderId="13" xfId="0" applyNumberFormat="1" applyFont="1" applyFill="1" applyBorder="1" applyAlignment="1">
      <alignment horizontal="center" vertical="center"/>
    </xf>
    <xf numFmtId="9" fontId="0" fillId="0" borderId="0" xfId="3" applyNumberFormat="1" applyFont="1" applyFill="1" applyAlignment="1">
      <alignment horizontal="center" vertical="center"/>
    </xf>
    <xf numFmtId="0" fontId="0" fillId="0" borderId="52" xfId="0" applyFont="1" applyFill="1" applyBorder="1" applyAlignment="1">
      <alignment horizontal="center" vertical="center"/>
    </xf>
    <xf numFmtId="165" fontId="0" fillId="14" borderId="9" xfId="3" applyNumberFormat="1" applyFont="1" applyFill="1" applyBorder="1" applyAlignment="1">
      <alignment horizontal="center" vertical="center"/>
    </xf>
    <xf numFmtId="165" fontId="0" fillId="14" borderId="10" xfId="3" applyNumberFormat="1" applyFont="1" applyFill="1" applyBorder="1" applyAlignment="1">
      <alignment horizontal="center" vertical="center"/>
    </xf>
    <xf numFmtId="1" fontId="0" fillId="14" borderId="0" xfId="0" applyNumberFormat="1" applyFont="1" applyFill="1" applyBorder="1" applyAlignment="1">
      <alignment horizontal="right" vertical="center"/>
    </xf>
    <xf numFmtId="1" fontId="0" fillId="14" borderId="11" xfId="0" applyNumberFormat="1" applyFont="1" applyFill="1" applyBorder="1" applyAlignment="1">
      <alignment horizontal="right" vertical="center"/>
    </xf>
    <xf numFmtId="1" fontId="0" fillId="14" borderId="12" xfId="0" applyNumberFormat="1" applyFont="1" applyFill="1" applyBorder="1" applyAlignment="1">
      <alignment horizontal="right" vertical="center"/>
    </xf>
    <xf numFmtId="1" fontId="0" fillId="14" borderId="13" xfId="0" applyNumberFormat="1" applyFont="1" applyFill="1" applyBorder="1" applyAlignment="1">
      <alignment horizontal="right" vertical="center"/>
    </xf>
    <xf numFmtId="0" fontId="0" fillId="0" borderId="51" xfId="0" applyFont="1" applyFill="1" applyBorder="1" applyAlignment="1">
      <alignment horizontal="center" vertical="center"/>
    </xf>
    <xf numFmtId="1" fontId="0" fillId="14" borderId="22" xfId="0" applyNumberFormat="1" applyFont="1" applyFill="1" applyBorder="1" applyAlignment="1">
      <alignment horizontal="center" vertical="center"/>
    </xf>
    <xf numFmtId="1" fontId="0" fillId="14" borderId="66" xfId="0" applyNumberFormat="1" applyFont="1" applyFill="1" applyBorder="1" applyAlignment="1">
      <alignment horizontal="center" vertical="center"/>
    </xf>
    <xf numFmtId="0" fontId="0" fillId="14" borderId="23" xfId="0" applyFont="1" applyFill="1" applyBorder="1" applyAlignment="1">
      <alignment horizontal="center" vertical="center"/>
    </xf>
    <xf numFmtId="0" fontId="0" fillId="0" borderId="4" xfId="0" applyFont="1" applyFill="1" applyBorder="1" applyAlignment="1">
      <alignment horizontal="center" vertical="center"/>
    </xf>
    <xf numFmtId="1" fontId="0" fillId="0" borderId="5" xfId="0" applyNumberFormat="1" applyFont="1" applyFill="1" applyBorder="1" applyAlignment="1">
      <alignment horizontal="center" vertical="center"/>
    </xf>
    <xf numFmtId="0" fontId="0" fillId="0" borderId="20" xfId="0" applyFont="1" applyFill="1" applyBorder="1" applyAlignment="1">
      <alignment horizontal="center" vertical="center"/>
    </xf>
    <xf numFmtId="2" fontId="0" fillId="14" borderId="13" xfId="0" applyNumberFormat="1" applyFont="1" applyFill="1" applyBorder="1" applyAlignment="1">
      <alignment horizontal="center" vertical="center"/>
    </xf>
    <xf numFmtId="0" fontId="25" fillId="0" borderId="0" xfId="5"/>
    <xf numFmtId="0" fontId="52" fillId="0" borderId="8"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1" fillId="0" borderId="21" xfId="0" applyFont="1" applyFill="1" applyBorder="1" applyAlignment="1">
      <alignment horizontal="center"/>
    </xf>
    <xf numFmtId="0" fontId="51" fillId="0" borderId="51" xfId="0" applyFont="1" applyFill="1" applyBorder="1" applyAlignment="1">
      <alignment horizontal="center" vertical="center"/>
    </xf>
    <xf numFmtId="0" fontId="51" fillId="0" borderId="67"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23" xfId="0" applyFont="1" applyFill="1" applyBorder="1" applyAlignment="1">
      <alignment horizontal="center" vertical="center"/>
    </xf>
    <xf numFmtId="0" fontId="52" fillId="0" borderId="19" xfId="0" applyFont="1" applyFill="1" applyBorder="1" applyAlignment="1">
      <alignment horizontal="left" vertical="center" wrapText="1"/>
    </xf>
    <xf numFmtId="0" fontId="52" fillId="0" borderId="65" xfId="0" applyFont="1" applyFill="1" applyBorder="1" applyAlignment="1">
      <alignment horizontal="center"/>
    </xf>
    <xf numFmtId="0" fontId="52" fillId="0" borderId="4" xfId="0" applyFont="1" applyFill="1" applyBorder="1" applyAlignment="1">
      <alignment horizontal="center"/>
    </xf>
    <xf numFmtId="0" fontId="52" fillId="0" borderId="5" xfId="0" applyFont="1" applyFill="1" applyBorder="1" applyAlignment="1">
      <alignment horizontal="center"/>
    </xf>
    <xf numFmtId="0" fontId="52" fillId="0" borderId="20" xfId="0" applyFont="1" applyFill="1" applyBorder="1" applyAlignment="1">
      <alignment horizontal="center"/>
    </xf>
    <xf numFmtId="0" fontId="51" fillId="0" borderId="15" xfId="0" applyFont="1" applyFill="1" applyBorder="1" applyAlignment="1">
      <alignment horizontal="center" vertical="center"/>
    </xf>
    <xf numFmtId="3" fontId="51" fillId="0" borderId="53" xfId="0" applyNumberFormat="1" applyFont="1" applyFill="1" applyBorder="1" applyAlignment="1">
      <alignment horizontal="center" vertical="center"/>
    </xf>
    <xf numFmtId="3" fontId="51" fillId="0" borderId="68" xfId="0" applyNumberFormat="1" applyFont="1" applyFill="1" applyBorder="1" applyAlignment="1">
      <alignment horizontal="center" vertical="center"/>
    </xf>
    <xf numFmtId="3" fontId="51" fillId="0" borderId="3" xfId="0" applyNumberFormat="1" applyFont="1" applyFill="1" applyBorder="1" applyAlignment="1">
      <alignment horizontal="center" vertical="center"/>
    </xf>
    <xf numFmtId="3" fontId="51" fillId="0" borderId="11" xfId="0" applyNumberFormat="1" applyFont="1" applyFill="1" applyBorder="1" applyAlignment="1">
      <alignment horizontal="center" vertical="center"/>
    </xf>
    <xf numFmtId="4" fontId="51" fillId="0" borderId="53" xfId="0" applyNumberFormat="1" applyFont="1" applyFill="1" applyBorder="1" applyAlignment="1">
      <alignment horizontal="center" vertical="center"/>
    </xf>
    <xf numFmtId="4" fontId="51" fillId="0" borderId="68" xfId="0" applyNumberFormat="1" applyFont="1" applyFill="1" applyBorder="1" applyAlignment="1">
      <alignment horizontal="center" vertical="center"/>
    </xf>
    <xf numFmtId="4" fontId="51" fillId="0" borderId="3" xfId="0" applyNumberFormat="1" applyFont="1" applyFill="1" applyBorder="1" applyAlignment="1">
      <alignment horizontal="center" vertical="center"/>
    </xf>
    <xf numFmtId="4" fontId="51" fillId="0" borderId="11" xfId="0" applyNumberFormat="1" applyFont="1" applyFill="1" applyBorder="1" applyAlignment="1">
      <alignment horizontal="center" vertical="center"/>
    </xf>
    <xf numFmtId="0" fontId="53" fillId="0" borderId="6" xfId="0" applyFont="1" applyFill="1" applyBorder="1" applyAlignment="1">
      <alignment horizontal="left"/>
    </xf>
    <xf numFmtId="10" fontId="53" fillId="0" borderId="2" xfId="0" applyNumberFormat="1" applyFont="1" applyFill="1" applyBorder="1" applyAlignment="1" applyProtection="1">
      <alignment horizontal="center"/>
      <protection locked="0"/>
    </xf>
    <xf numFmtId="10" fontId="53" fillId="0" borderId="0" xfId="0" applyNumberFormat="1" applyFont="1" applyFill="1" applyBorder="1" applyAlignment="1" applyProtection="1">
      <alignment horizontal="center"/>
      <protection locked="0"/>
    </xf>
    <xf numFmtId="10" fontId="53" fillId="0" borderId="3" xfId="0" applyNumberFormat="1" applyFont="1" applyFill="1" applyBorder="1" applyAlignment="1" applyProtection="1">
      <alignment horizontal="center"/>
      <protection locked="0"/>
    </xf>
    <xf numFmtId="9" fontId="53" fillId="0" borderId="11" xfId="3" applyFont="1" applyFill="1" applyBorder="1" applyAlignment="1">
      <alignment horizontal="center"/>
    </xf>
    <xf numFmtId="0" fontId="54" fillId="0" borderId="15" xfId="0" applyFont="1" applyFill="1" applyBorder="1" applyAlignment="1">
      <alignment horizontal="center" vertical="center"/>
    </xf>
    <xf numFmtId="3" fontId="54" fillId="0" borderId="53" xfId="0" applyNumberFormat="1" applyFont="1" applyFill="1" applyBorder="1" applyAlignment="1">
      <alignment horizontal="center" vertical="center"/>
    </xf>
    <xf numFmtId="3" fontId="54" fillId="0" borderId="68" xfId="0" applyNumberFormat="1" applyFont="1" applyFill="1" applyBorder="1" applyAlignment="1">
      <alignment horizontal="center" vertical="center"/>
    </xf>
    <xf numFmtId="3" fontId="54" fillId="0" borderId="3" xfId="0" applyNumberFormat="1" applyFont="1" applyFill="1" applyBorder="1" applyAlignment="1">
      <alignment horizontal="center" vertical="center"/>
    </xf>
    <xf numFmtId="3" fontId="54" fillId="0" borderId="11" xfId="0" applyNumberFormat="1" applyFont="1" applyFill="1" applyBorder="1" applyAlignment="1">
      <alignment horizontal="center" vertical="center"/>
    </xf>
    <xf numFmtId="4" fontId="54" fillId="0" borderId="53" xfId="0" applyNumberFormat="1" applyFont="1" applyFill="1" applyBorder="1" applyAlignment="1">
      <alignment horizontal="center" vertical="center"/>
    </xf>
    <xf numFmtId="4" fontId="54" fillId="0" borderId="68" xfId="0" applyNumberFormat="1" applyFont="1" applyFill="1" applyBorder="1" applyAlignment="1">
      <alignment horizontal="center" vertical="center"/>
    </xf>
    <xf numFmtId="4" fontId="54" fillId="0" borderId="3" xfId="0" applyNumberFormat="1" applyFont="1" applyFill="1" applyBorder="1" applyAlignment="1">
      <alignment horizontal="center" vertical="center"/>
    </xf>
    <xf numFmtId="4" fontId="54" fillId="0" borderId="11" xfId="0" applyNumberFormat="1" applyFont="1" applyFill="1" applyBorder="1" applyAlignment="1">
      <alignment horizontal="center" vertical="center"/>
    </xf>
    <xf numFmtId="10" fontId="53" fillId="0" borderId="2" xfId="3" applyNumberFormat="1" applyFont="1" applyFill="1" applyBorder="1" applyAlignment="1">
      <alignment horizontal="center"/>
    </xf>
    <xf numFmtId="10" fontId="53" fillId="0" borderId="0" xfId="3" applyNumberFormat="1" applyFont="1" applyFill="1" applyBorder="1" applyAlignment="1">
      <alignment horizontal="center"/>
    </xf>
    <xf numFmtId="10" fontId="53" fillId="0" borderId="3" xfId="3" applyNumberFormat="1" applyFont="1" applyFill="1" applyBorder="1" applyAlignment="1">
      <alignment horizontal="center"/>
    </xf>
    <xf numFmtId="9" fontId="53" fillId="0" borderId="2" xfId="0" applyNumberFormat="1" applyFont="1" applyFill="1" applyBorder="1" applyAlignment="1">
      <alignment horizontal="center"/>
    </xf>
    <xf numFmtId="9" fontId="53" fillId="0" borderId="0" xfId="0" applyNumberFormat="1" applyFont="1" applyFill="1" applyBorder="1" applyAlignment="1">
      <alignment horizontal="center"/>
    </xf>
    <xf numFmtId="9" fontId="53" fillId="0" borderId="3" xfId="0" applyNumberFormat="1" applyFont="1" applyFill="1" applyBorder="1" applyAlignment="1">
      <alignment horizontal="center"/>
    </xf>
    <xf numFmtId="9" fontId="53" fillId="0" borderId="11" xfId="5" applyNumberFormat="1" applyFont="1" applyFill="1" applyBorder="1" applyAlignment="1">
      <alignment horizontal="center"/>
    </xf>
    <xf numFmtId="0" fontId="53" fillId="0" borderId="7" xfId="0" applyFont="1" applyFill="1" applyBorder="1" applyAlignment="1">
      <alignment horizontal="left"/>
    </xf>
    <xf numFmtId="10" fontId="53" fillId="0" borderId="27" xfId="0" applyNumberFormat="1" applyFont="1" applyFill="1" applyBorder="1" applyAlignment="1" applyProtection="1">
      <alignment horizontal="center"/>
      <protection locked="0"/>
    </xf>
    <xf numFmtId="10" fontId="53" fillId="0" borderId="12" xfId="0" applyNumberFormat="1" applyFont="1" applyFill="1" applyBorder="1" applyAlignment="1" applyProtection="1">
      <alignment horizontal="center"/>
      <protection locked="0"/>
    </xf>
    <xf numFmtId="10" fontId="53" fillId="0" borderId="46" xfId="0" applyNumberFormat="1" applyFont="1" applyFill="1" applyBorder="1" applyAlignment="1" applyProtection="1">
      <alignment horizontal="center"/>
      <protection locked="0"/>
    </xf>
    <xf numFmtId="9" fontId="53" fillId="0" borderId="13" xfId="3" applyFont="1" applyFill="1" applyBorder="1" applyAlignment="1">
      <alignment horizontal="center"/>
    </xf>
    <xf numFmtId="0" fontId="51" fillId="0" borderId="35" xfId="0" applyFont="1" applyFill="1" applyBorder="1" applyAlignment="1">
      <alignment horizontal="center" vertical="center"/>
    </xf>
    <xf numFmtId="3" fontId="51" fillId="0" borderId="58" xfId="0" applyNumberFormat="1" applyFont="1" applyFill="1" applyBorder="1" applyAlignment="1">
      <alignment horizontal="center" vertical="center"/>
    </xf>
    <xf numFmtId="3" fontId="51" fillId="0" borderId="69" xfId="0" applyNumberFormat="1" applyFont="1" applyFill="1" applyBorder="1" applyAlignment="1">
      <alignment horizontal="center" vertical="center"/>
    </xf>
    <xf numFmtId="3" fontId="51" fillId="0" borderId="32" xfId="0" applyNumberFormat="1" applyFont="1" applyFill="1" applyBorder="1" applyAlignment="1">
      <alignment horizontal="center" vertical="center"/>
    </xf>
    <xf numFmtId="3" fontId="51" fillId="0" borderId="34" xfId="0" applyNumberFormat="1" applyFont="1" applyFill="1" applyBorder="1" applyAlignment="1">
      <alignment horizontal="center" vertical="center"/>
    </xf>
    <xf numFmtId="4" fontId="51" fillId="0" borderId="58" xfId="0" applyNumberFormat="1" applyFont="1" applyFill="1" applyBorder="1" applyAlignment="1">
      <alignment horizontal="center" vertical="center"/>
    </xf>
    <xf numFmtId="4" fontId="51" fillId="0" borderId="69" xfId="0" applyNumberFormat="1" applyFont="1" applyFill="1" applyBorder="1" applyAlignment="1">
      <alignment horizontal="center" vertical="center"/>
    </xf>
    <xf numFmtId="4" fontId="51" fillId="0" borderId="32" xfId="0" applyNumberFormat="1" applyFont="1" applyFill="1" applyBorder="1" applyAlignment="1">
      <alignment horizontal="center" vertical="center"/>
    </xf>
    <xf numFmtId="4" fontId="51" fillId="0" borderId="34" xfId="0" applyNumberFormat="1" applyFont="1" applyFill="1" applyBorder="1" applyAlignment="1">
      <alignment horizontal="center" vertical="center"/>
    </xf>
    <xf numFmtId="0" fontId="0" fillId="0" borderId="70" xfId="0" applyFill="1" applyBorder="1" applyAlignment="1">
      <alignment horizont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3" xfId="0" applyFill="1" applyBorder="1" applyAlignment="1">
      <alignment horizontal="center" vertical="center"/>
    </xf>
    <xf numFmtId="0" fontId="54" fillId="0" borderId="25" xfId="0" applyFont="1" applyFill="1" applyBorder="1" applyAlignment="1">
      <alignment horizontal="center" vertical="center"/>
    </xf>
    <xf numFmtId="3" fontId="54" fillId="0" borderId="60" xfId="0" applyNumberFormat="1" applyFont="1" applyFill="1" applyBorder="1" applyAlignment="1">
      <alignment horizontal="center" vertical="center"/>
    </xf>
    <xf numFmtId="3" fontId="54" fillId="0" borderId="71" xfId="0" applyNumberFormat="1" applyFont="1" applyFill="1" applyBorder="1" applyAlignment="1">
      <alignment horizontal="center" vertical="center"/>
    </xf>
    <xf numFmtId="3" fontId="54" fillId="0" borderId="5" xfId="0" applyNumberFormat="1" applyFont="1" applyFill="1" applyBorder="1" applyAlignment="1">
      <alignment horizontal="center" vertical="center"/>
    </xf>
    <xf numFmtId="3" fontId="54" fillId="0" borderId="20" xfId="0" applyNumberFormat="1" applyFont="1" applyFill="1" applyBorder="1" applyAlignment="1">
      <alignment horizontal="center" vertical="center"/>
    </xf>
    <xf numFmtId="4" fontId="54" fillId="0" borderId="60" xfId="0" applyNumberFormat="1" applyFont="1" applyFill="1" applyBorder="1" applyAlignment="1">
      <alignment horizontal="center" vertical="center"/>
    </xf>
    <xf numFmtId="4" fontId="54" fillId="0" borderId="71" xfId="0" applyNumberFormat="1" applyFont="1" applyFill="1" applyBorder="1" applyAlignment="1">
      <alignment horizontal="center" vertical="center"/>
    </xf>
    <xf numFmtId="4" fontId="54" fillId="0" borderId="5" xfId="0" applyNumberFormat="1" applyFont="1" applyFill="1" applyBorder="1" applyAlignment="1">
      <alignment horizontal="center" vertical="center"/>
    </xf>
    <xf numFmtId="4" fontId="54" fillId="0" borderId="20" xfId="0" applyNumberFormat="1" applyFont="1" applyFill="1" applyBorder="1" applyAlignment="1">
      <alignment horizontal="center" vertical="center"/>
    </xf>
    <xf numFmtId="3" fontId="0" fillId="0" borderId="11" xfId="0" applyNumberFormat="1" applyFill="1" applyBorder="1" applyAlignment="1">
      <alignment horizontal="center"/>
    </xf>
    <xf numFmtId="1" fontId="0" fillId="0" borderId="53" xfId="0" applyNumberFormat="1" applyFill="1" applyBorder="1" applyAlignment="1">
      <alignment horizontal="center" vertical="center"/>
    </xf>
    <xf numFmtId="0" fontId="0" fillId="0" borderId="59" xfId="0" applyFill="1" applyBorder="1" applyAlignment="1">
      <alignment horizontal="center" vertical="center"/>
    </xf>
    <xf numFmtId="3" fontId="0" fillId="0" borderId="49" xfId="0" applyNumberFormat="1" applyFill="1" applyBorder="1" applyAlignment="1">
      <alignment horizontal="center" vertical="center"/>
    </xf>
    <xf numFmtId="3" fontId="0" fillId="0" borderId="48" xfId="0" applyNumberFormat="1" applyFill="1" applyBorder="1" applyAlignment="1">
      <alignment horizontal="center" vertical="center"/>
    </xf>
    <xf numFmtId="0" fontId="0" fillId="0" borderId="54" xfId="0" applyFill="1" applyBorder="1" applyAlignment="1">
      <alignment horizontal="center" vertical="center"/>
    </xf>
    <xf numFmtId="3" fontId="0" fillId="0" borderId="13" xfId="0" applyNumberFormat="1" applyFill="1" applyBorder="1" applyAlignment="1">
      <alignment horizontal="center" vertical="center"/>
    </xf>
    <xf numFmtId="0" fontId="0" fillId="0" borderId="70" xfId="0" applyFill="1" applyBorder="1" applyAlignment="1">
      <alignment horizontal="center" vertical="center"/>
    </xf>
    <xf numFmtId="173" fontId="0" fillId="0" borderId="11" xfId="0" applyNumberFormat="1" applyFill="1" applyBorder="1" applyAlignment="1">
      <alignment horizontal="center" vertical="center"/>
    </xf>
    <xf numFmtId="168" fontId="0" fillId="0" borderId="53" xfId="0" applyNumberFormat="1" applyFill="1" applyBorder="1" applyAlignment="1">
      <alignment horizontal="center" vertical="center"/>
    </xf>
    <xf numFmtId="0" fontId="54" fillId="0" borderId="16" xfId="0" applyFont="1" applyFill="1" applyBorder="1" applyAlignment="1">
      <alignment horizontal="center" vertical="center"/>
    </xf>
    <xf numFmtId="4" fontId="54" fillId="0" borderId="54" xfId="0" applyNumberFormat="1" applyFont="1" applyFill="1" applyBorder="1" applyAlignment="1">
      <alignment horizontal="center" vertical="center"/>
    </xf>
    <xf numFmtId="4" fontId="54" fillId="0" borderId="72" xfId="0" applyNumberFormat="1" applyFont="1" applyFill="1" applyBorder="1" applyAlignment="1">
      <alignment horizontal="center" vertical="center"/>
    </xf>
    <xf numFmtId="4" fontId="54" fillId="0" borderId="46"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0" fillId="0" borderId="0" xfId="0" applyNumberFormat="1" applyFill="1"/>
    <xf numFmtId="4" fontId="0" fillId="0" borderId="0" xfId="0" applyNumberFormat="1" applyFill="1" applyBorder="1" applyAlignment="1">
      <alignment horizontal="center" vertical="center"/>
    </xf>
    <xf numFmtId="0" fontId="51" fillId="0" borderId="28" xfId="0" applyFont="1" applyFill="1" applyBorder="1" applyAlignment="1">
      <alignment horizontal="center" vertical="center"/>
    </xf>
    <xf numFmtId="3" fontId="51" fillId="0" borderId="51" xfId="0" applyNumberFormat="1" applyFont="1" applyFill="1" applyBorder="1" applyAlignment="1">
      <alignment horizontal="center" vertical="center"/>
    </xf>
    <xf numFmtId="3" fontId="51" fillId="0" borderId="67" xfId="0" applyNumberFormat="1" applyFont="1" applyFill="1" applyBorder="1" applyAlignment="1">
      <alignment horizontal="center" vertical="center"/>
    </xf>
    <xf numFmtId="3" fontId="51" fillId="0" borderId="66" xfId="0" applyNumberFormat="1" applyFont="1" applyFill="1" applyBorder="1" applyAlignment="1">
      <alignment horizontal="center" vertical="center"/>
    </xf>
    <xf numFmtId="3" fontId="51" fillId="0" borderId="23" xfId="0" applyNumberFormat="1" applyFont="1" applyFill="1" applyBorder="1" applyAlignment="1">
      <alignment horizontal="center" vertical="center"/>
    </xf>
    <xf numFmtId="0" fontId="51" fillId="0" borderId="0" xfId="0" applyFont="1" applyFill="1" applyBorder="1" applyAlignment="1">
      <alignment horizontal="center" vertical="center"/>
    </xf>
    <xf numFmtId="4" fontId="51" fillId="0" borderId="0" xfId="0" applyNumberFormat="1" applyFont="1" applyFill="1" applyBorder="1" applyAlignment="1">
      <alignment horizontal="center" vertical="center"/>
    </xf>
    <xf numFmtId="0" fontId="54" fillId="0" borderId="0" xfId="0" applyFont="1" applyFill="1" applyAlignment="1">
      <alignment horizontal="center" vertical="center"/>
    </xf>
    <xf numFmtId="0" fontId="51" fillId="0" borderId="14" xfId="0" applyFont="1" applyFill="1" applyBorder="1" applyAlignment="1">
      <alignment horizontal="center" vertical="center"/>
    </xf>
    <xf numFmtId="3" fontId="51" fillId="0" borderId="52" xfId="0" applyNumberFormat="1" applyFont="1" applyFill="1" applyBorder="1" applyAlignment="1">
      <alignment horizontal="center" vertical="center"/>
    </xf>
    <xf numFmtId="3" fontId="51" fillId="0" borderId="73" xfId="0" applyNumberFormat="1" applyFont="1" applyFill="1" applyBorder="1" applyAlignment="1">
      <alignment horizontal="center" vertical="center"/>
    </xf>
    <xf numFmtId="3" fontId="51" fillId="0" borderId="29" xfId="0" applyNumberFormat="1" applyFont="1" applyFill="1" applyBorder="1" applyAlignment="1">
      <alignment horizontal="center" vertical="center"/>
    </xf>
    <xf numFmtId="3" fontId="51" fillId="0" borderId="10" xfId="0" applyNumberFormat="1" applyFont="1" applyFill="1" applyBorder="1" applyAlignment="1">
      <alignment horizontal="center" vertical="center"/>
    </xf>
    <xf numFmtId="4" fontId="51" fillId="0" borderId="52" xfId="0" applyNumberFormat="1" applyFont="1" applyFill="1" applyBorder="1" applyAlignment="1">
      <alignment horizontal="center" vertical="center"/>
    </xf>
    <xf numFmtId="4" fontId="51" fillId="0" borderId="73" xfId="0" applyNumberFormat="1" applyFont="1" applyFill="1" applyBorder="1" applyAlignment="1">
      <alignment horizontal="center" vertical="center"/>
    </xf>
    <xf numFmtId="4" fontId="51" fillId="0" borderId="29" xfId="0" applyNumberFormat="1" applyFont="1" applyFill="1" applyBorder="1" applyAlignment="1">
      <alignment horizontal="center" vertical="center"/>
    </xf>
    <xf numFmtId="4" fontId="51" fillId="0" borderId="10" xfId="0" applyNumberFormat="1" applyFont="1" applyFill="1" applyBorder="1" applyAlignment="1">
      <alignment horizontal="center" vertical="center"/>
    </xf>
    <xf numFmtId="0" fontId="0" fillId="0" borderId="6" xfId="0" applyBorder="1" applyAlignment="1">
      <alignment horizontal="center"/>
    </xf>
    <xf numFmtId="3" fontId="0" fillId="0" borderId="0" xfId="0" applyNumberFormat="1" applyBorder="1" applyAlignment="1">
      <alignment horizontal="center"/>
    </xf>
    <xf numFmtId="3" fontId="0" fillId="0" borderId="11" xfId="0" applyNumberFormat="1" applyBorder="1" applyAlignment="1">
      <alignment horizontal="center"/>
    </xf>
    <xf numFmtId="3" fontId="0" fillId="0" borderId="0" xfId="0" applyNumberFormat="1"/>
    <xf numFmtId="0" fontId="0" fillId="0" borderId="6" xfId="0" applyFill="1" applyBorder="1" applyAlignment="1">
      <alignment horizontal="center"/>
    </xf>
    <xf numFmtId="3" fontId="0" fillId="0" borderId="0" xfId="0" applyNumberFormat="1" applyFill="1" applyBorder="1" applyAlignment="1">
      <alignment horizontal="center"/>
    </xf>
    <xf numFmtId="4" fontId="0" fillId="0" borderId="0" xfId="0" applyNumberFormat="1" applyFill="1"/>
    <xf numFmtId="0" fontId="0" fillId="0" borderId="7" xfId="0" applyFill="1" applyBorder="1" applyAlignment="1">
      <alignment horizontal="center"/>
    </xf>
    <xf numFmtId="3" fontId="0" fillId="0" borderId="12" xfId="0" applyNumberFormat="1" applyFill="1" applyBorder="1" applyAlignment="1">
      <alignment horizontal="center"/>
    </xf>
    <xf numFmtId="3" fontId="0" fillId="0" borderId="13" xfId="0" applyNumberFormat="1" applyFill="1" applyBorder="1" applyAlignment="1">
      <alignment horizontal="center"/>
    </xf>
    <xf numFmtId="4" fontId="0" fillId="0" borderId="0" xfId="0" applyNumberFormat="1" applyFill="1" applyBorder="1" applyAlignment="1">
      <alignment horizontal="center"/>
    </xf>
    <xf numFmtId="0" fontId="0" fillId="0" borderId="0" xfId="0" applyFill="1" applyAlignment="1">
      <alignment horizontal="center"/>
    </xf>
    <xf numFmtId="0" fontId="25" fillId="0" borderId="0" xfId="5" applyAlignment="1">
      <alignment horizontal="center"/>
    </xf>
    <xf numFmtId="9" fontId="0" fillId="0" borderId="0" xfId="0" applyNumberFormat="1" applyFill="1" applyAlignment="1">
      <alignment horizontal="center"/>
    </xf>
    <xf numFmtId="3" fontId="51" fillId="0" borderId="74" xfId="0" applyNumberFormat="1" applyFont="1" applyFill="1" applyBorder="1" applyAlignment="1">
      <alignment horizontal="center" vertical="center"/>
    </xf>
    <xf numFmtId="3" fontId="51" fillId="0" borderId="42" xfId="0" applyNumberFormat="1" applyFont="1" applyFill="1" applyBorder="1" applyAlignment="1">
      <alignment horizontal="center" vertical="center"/>
    </xf>
    <xf numFmtId="3" fontId="51" fillId="0" borderId="63" xfId="0" applyNumberFormat="1" applyFont="1" applyFill="1" applyBorder="1" applyAlignment="1">
      <alignment horizontal="center" vertical="center"/>
    </xf>
    <xf numFmtId="3" fontId="51" fillId="0" borderId="45" xfId="0" applyNumberFormat="1" applyFont="1" applyFill="1" applyBorder="1" applyAlignment="1">
      <alignment horizontal="center" vertical="center"/>
    </xf>
    <xf numFmtId="0" fontId="51" fillId="0" borderId="75" xfId="0" applyFont="1" applyFill="1" applyBorder="1" applyAlignment="1">
      <alignment horizontal="center" vertical="center"/>
    </xf>
    <xf numFmtId="4" fontId="51" fillId="0" borderId="76" xfId="0" applyNumberFormat="1" applyFont="1" applyFill="1" applyBorder="1" applyAlignment="1">
      <alignment horizontal="center" vertical="center"/>
    </xf>
    <xf numFmtId="4" fontId="51" fillId="0" borderId="77" xfId="0" applyNumberFormat="1" applyFont="1" applyFill="1" applyBorder="1" applyAlignment="1">
      <alignment horizontal="center" vertical="center"/>
    </xf>
    <xf numFmtId="4" fontId="51" fillId="0" borderId="78" xfId="0" applyNumberFormat="1" applyFont="1" applyFill="1" applyBorder="1" applyAlignment="1">
      <alignment horizontal="center" vertical="center"/>
    </xf>
    <xf numFmtId="4" fontId="51" fillId="0" borderId="39" xfId="0" applyNumberFormat="1" applyFont="1" applyFill="1" applyBorder="1" applyAlignment="1">
      <alignment horizontal="center" vertical="center"/>
    </xf>
    <xf numFmtId="3" fontId="51" fillId="0" borderId="54" xfId="0" applyNumberFormat="1" applyFont="1" applyFill="1" applyBorder="1" applyAlignment="1">
      <alignment horizontal="center" vertical="center"/>
    </xf>
    <xf numFmtId="3" fontId="51" fillId="0" borderId="72" xfId="0" applyNumberFormat="1" applyFont="1" applyFill="1" applyBorder="1" applyAlignment="1">
      <alignment horizontal="center" vertical="center"/>
    </xf>
    <xf numFmtId="3" fontId="51" fillId="0" borderId="46" xfId="0" applyNumberFormat="1" applyFont="1" applyFill="1" applyBorder="1" applyAlignment="1">
      <alignment horizontal="center" vertical="center"/>
    </xf>
    <xf numFmtId="3" fontId="51" fillId="0" borderId="13" xfId="0" applyNumberFormat="1" applyFont="1" applyFill="1" applyBorder="1" applyAlignment="1">
      <alignment horizontal="center" vertical="center"/>
    </xf>
    <xf numFmtId="4" fontId="0" fillId="0" borderId="11" xfId="0" applyNumberFormat="1" applyFill="1" applyBorder="1" applyAlignment="1">
      <alignment horizontal="center" vertical="center"/>
    </xf>
    <xf numFmtId="173" fontId="0" fillId="0" borderId="11" xfId="0" applyNumberFormat="1" applyFill="1" applyBorder="1" applyAlignment="1">
      <alignment horizontal="center"/>
    </xf>
    <xf numFmtId="4" fontId="0" fillId="0" borderId="11" xfId="0" applyNumberFormat="1" applyFill="1" applyBorder="1" applyAlignment="1">
      <alignment horizontal="center"/>
    </xf>
    <xf numFmtId="4" fontId="0" fillId="0" borderId="49" xfId="0" applyNumberFormat="1" applyFill="1" applyBorder="1" applyAlignment="1">
      <alignment horizontal="center" vertical="center"/>
    </xf>
    <xf numFmtId="4" fontId="0" fillId="0" borderId="48" xfId="0" applyNumberFormat="1" applyFill="1" applyBorder="1" applyAlignment="1">
      <alignment horizontal="center" vertical="center"/>
    </xf>
    <xf numFmtId="173" fontId="0" fillId="0" borderId="49" xfId="0" applyNumberFormat="1" applyFill="1" applyBorder="1" applyAlignment="1">
      <alignment horizontal="center" vertical="center"/>
    </xf>
    <xf numFmtId="173" fontId="0" fillId="0" borderId="48" xfId="0" applyNumberFormat="1" applyFill="1" applyBorder="1" applyAlignment="1">
      <alignment horizontal="center" vertical="center"/>
    </xf>
    <xf numFmtId="0" fontId="54" fillId="0" borderId="0" xfId="0" applyFont="1" applyFill="1"/>
    <xf numFmtId="0" fontId="51" fillId="0" borderId="52"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64"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27" xfId="0" applyFont="1" applyFill="1" applyBorder="1" applyAlignment="1">
      <alignment horizontal="center" vertical="center"/>
    </xf>
    <xf numFmtId="0" fontId="51" fillId="0" borderId="46"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72" xfId="0" applyFont="1" applyFill="1" applyBorder="1" applyAlignment="1">
      <alignment horizontal="center" vertical="center"/>
    </xf>
    <xf numFmtId="0" fontId="54" fillId="0" borderId="70" xfId="0" applyFont="1" applyFill="1" applyBorder="1" applyAlignment="1">
      <alignment horizontal="center" vertical="center" wrapText="1"/>
    </xf>
    <xf numFmtId="0" fontId="54" fillId="0" borderId="55" xfId="0" applyFont="1" applyFill="1" applyBorder="1" applyAlignment="1">
      <alignment horizontal="center" vertical="center"/>
    </xf>
    <xf numFmtId="0" fontId="54" fillId="0" borderId="79" xfId="0" applyFont="1" applyFill="1" applyBorder="1" applyAlignment="1">
      <alignment horizontal="center" vertical="center"/>
    </xf>
    <xf numFmtId="0" fontId="54" fillId="0" borderId="56" xfId="0" applyFont="1" applyFill="1" applyBorder="1" applyAlignment="1">
      <alignment horizontal="center" vertical="center"/>
    </xf>
    <xf numFmtId="10" fontId="51" fillId="0" borderId="9" xfId="0" applyNumberFormat="1" applyFont="1" applyFill="1" applyBorder="1" applyAlignment="1">
      <alignment horizontal="center" vertical="center"/>
    </xf>
    <xf numFmtId="3" fontId="51" fillId="0" borderId="9" xfId="0" applyNumberFormat="1" applyFont="1" applyFill="1" applyBorder="1" applyAlignment="1">
      <alignment horizontal="center" vertical="center"/>
    </xf>
    <xf numFmtId="10" fontId="51" fillId="0" borderId="64" xfId="0" applyNumberFormat="1" applyFont="1" applyFill="1" applyBorder="1" applyAlignment="1">
      <alignment horizontal="center" vertical="center"/>
    </xf>
    <xf numFmtId="10" fontId="51" fillId="0" borderId="10" xfId="0" applyNumberFormat="1" applyFont="1" applyFill="1" applyBorder="1" applyAlignment="1">
      <alignment horizontal="center" vertical="center"/>
    </xf>
    <xf numFmtId="0" fontId="54" fillId="0" borderId="53" xfId="0" applyFont="1" applyFill="1" applyBorder="1" applyAlignment="1">
      <alignment horizontal="center" vertical="center"/>
    </xf>
    <xf numFmtId="3" fontId="54" fillId="0" borderId="0" xfId="0" applyNumberFormat="1" applyFont="1" applyFill="1" applyBorder="1" applyAlignment="1">
      <alignment horizontal="center" vertical="center"/>
    </xf>
    <xf numFmtId="10" fontId="54" fillId="0" borderId="0" xfId="0" applyNumberFormat="1" applyFont="1" applyFill="1" applyBorder="1" applyAlignment="1">
      <alignment horizontal="center" vertical="center"/>
    </xf>
    <xf numFmtId="10" fontId="54" fillId="0" borderId="2" xfId="0" applyNumberFormat="1" applyFont="1" applyFill="1" applyBorder="1" applyAlignment="1">
      <alignment horizontal="center" vertical="center"/>
    </xf>
    <xf numFmtId="10" fontId="54" fillId="0" borderId="11" xfId="0" applyNumberFormat="1" applyFont="1" applyFill="1" applyBorder="1" applyAlignment="1">
      <alignment horizontal="center" vertical="center"/>
    </xf>
    <xf numFmtId="0" fontId="54" fillId="0" borderId="59" xfId="0" applyFont="1" applyFill="1" applyBorder="1" applyAlignment="1">
      <alignment horizontal="center" vertical="center"/>
    </xf>
    <xf numFmtId="3" fontId="54" fillId="0" borderId="49" xfId="0" applyNumberFormat="1" applyFont="1" applyFill="1" applyBorder="1" applyAlignment="1">
      <alignment horizontal="center" vertical="center"/>
    </xf>
    <xf numFmtId="3" fontId="54" fillId="0" borderId="80" xfId="0" applyNumberFormat="1" applyFont="1" applyFill="1" applyBorder="1" applyAlignment="1">
      <alignment horizontal="center" vertical="center"/>
    </xf>
    <xf numFmtId="3" fontId="54" fillId="0" borderId="48" xfId="0" applyNumberFormat="1" applyFont="1" applyFill="1" applyBorder="1" applyAlignment="1">
      <alignment horizontal="center" vertical="center"/>
    </xf>
    <xf numFmtId="0" fontId="54" fillId="0" borderId="54" xfId="0" applyFont="1" applyFill="1" applyBorder="1" applyAlignment="1">
      <alignment horizontal="center" vertical="center"/>
    </xf>
    <xf numFmtId="3" fontId="54" fillId="0" borderId="12" xfId="0" applyNumberFormat="1" applyFont="1" applyFill="1" applyBorder="1" applyAlignment="1">
      <alignment horizontal="center" vertical="center"/>
    </xf>
    <xf numFmtId="3" fontId="54" fillId="0" borderId="72"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9" fontId="54" fillId="0" borderId="0" xfId="0" applyNumberFormat="1" applyFont="1" applyFill="1" applyBorder="1" applyAlignment="1">
      <alignment horizontal="center" vertical="center"/>
    </xf>
    <xf numFmtId="9" fontId="54" fillId="0" borderId="68" xfId="0" applyNumberFormat="1" applyFont="1" applyFill="1" applyBorder="1" applyAlignment="1">
      <alignment horizontal="center" vertical="center"/>
    </xf>
    <xf numFmtId="9" fontId="54" fillId="0" borderId="11" xfId="0" applyNumberFormat="1" applyFont="1" applyFill="1" applyBorder="1" applyAlignment="1">
      <alignment horizontal="center" vertical="center"/>
    </xf>
    <xf numFmtId="10" fontId="51" fillId="0" borderId="31" xfId="0" applyNumberFormat="1" applyFont="1" applyFill="1" applyBorder="1" applyAlignment="1">
      <alignment horizontal="center" vertical="center"/>
    </xf>
    <xf numFmtId="3" fontId="51" fillId="0" borderId="31" xfId="0" applyNumberFormat="1" applyFont="1" applyFill="1" applyBorder="1" applyAlignment="1">
      <alignment horizontal="center" vertical="center"/>
    </xf>
    <xf numFmtId="10" fontId="51" fillId="0" borderId="30" xfId="0" applyNumberFormat="1" applyFont="1" applyFill="1" applyBorder="1" applyAlignment="1">
      <alignment horizontal="center" vertical="center"/>
    </xf>
    <xf numFmtId="10" fontId="51" fillId="0" borderId="34" xfId="0" applyNumberFormat="1" applyFont="1" applyFill="1" applyBorder="1" applyAlignment="1">
      <alignment horizontal="center" vertical="center"/>
    </xf>
    <xf numFmtId="10" fontId="54" fillId="0" borderId="4" xfId="0" applyNumberFormat="1" applyFont="1" applyFill="1" applyBorder="1" applyAlignment="1">
      <alignment horizontal="center" vertical="center"/>
    </xf>
    <xf numFmtId="3" fontId="54" fillId="0" borderId="4" xfId="0" applyNumberFormat="1" applyFont="1" applyFill="1" applyBorder="1" applyAlignment="1">
      <alignment horizontal="center" vertical="center"/>
    </xf>
    <xf numFmtId="10" fontId="54" fillId="0" borderId="65" xfId="0" applyNumberFormat="1" applyFont="1" applyFill="1" applyBorder="1" applyAlignment="1">
      <alignment horizontal="center" vertical="center"/>
    </xf>
    <xf numFmtId="10" fontId="54" fillId="0" borderId="20" xfId="0" applyNumberFormat="1" applyFont="1" applyFill="1" applyBorder="1" applyAlignment="1">
      <alignment horizontal="center" vertical="center"/>
    </xf>
    <xf numFmtId="9" fontId="54" fillId="0" borderId="49" xfId="0" applyNumberFormat="1" applyFont="1" applyFill="1" applyBorder="1" applyAlignment="1">
      <alignment horizontal="center" vertical="center"/>
    </xf>
    <xf numFmtId="9" fontId="54" fillId="0" borderId="80" xfId="0" applyNumberFormat="1" applyFont="1" applyFill="1" applyBorder="1" applyAlignment="1">
      <alignment horizontal="center" vertical="center"/>
    </xf>
    <xf numFmtId="9" fontId="54" fillId="0" borderId="48" xfId="0" applyNumberFormat="1" applyFont="1" applyFill="1" applyBorder="1" applyAlignment="1">
      <alignment horizontal="center" vertical="center"/>
    </xf>
    <xf numFmtId="9" fontId="54" fillId="0" borderId="12" xfId="0" applyNumberFormat="1" applyFont="1" applyFill="1" applyBorder="1" applyAlignment="1">
      <alignment horizontal="center" vertical="center"/>
    </xf>
    <xf numFmtId="9" fontId="54" fillId="0" borderId="72" xfId="0" applyNumberFormat="1" applyFont="1" applyFill="1" applyBorder="1" applyAlignment="1">
      <alignment horizontal="center" vertical="center"/>
    </xf>
    <xf numFmtId="9" fontId="54" fillId="0" borderId="13" xfId="0" applyNumberFormat="1" applyFont="1" applyFill="1" applyBorder="1" applyAlignment="1">
      <alignment horizontal="center" vertical="center"/>
    </xf>
    <xf numFmtId="0" fontId="54" fillId="0" borderId="81" xfId="0" applyFont="1" applyFill="1" applyBorder="1" applyAlignment="1">
      <alignment horizontal="center" vertical="center"/>
    </xf>
    <xf numFmtId="10" fontId="54" fillId="0" borderId="68" xfId="0" applyNumberFormat="1" applyFont="1" applyFill="1" applyBorder="1" applyAlignment="1">
      <alignment horizontal="center" vertical="center"/>
    </xf>
    <xf numFmtId="10" fontId="54" fillId="0" borderId="49" xfId="0" applyNumberFormat="1" applyFont="1" applyFill="1" applyBorder="1" applyAlignment="1">
      <alignment horizontal="center" vertical="center"/>
    </xf>
    <xf numFmtId="10" fontId="54" fillId="0" borderId="80" xfId="0" applyNumberFormat="1" applyFont="1" applyFill="1" applyBorder="1" applyAlignment="1">
      <alignment horizontal="center" vertical="center"/>
    </xf>
    <xf numFmtId="10" fontId="54" fillId="0" borderId="48" xfId="0" applyNumberFormat="1" applyFont="1" applyFill="1" applyBorder="1" applyAlignment="1">
      <alignment horizontal="center" vertical="center"/>
    </xf>
    <xf numFmtId="10" fontId="54" fillId="0" borderId="12" xfId="0" applyNumberFormat="1" applyFont="1" applyFill="1" applyBorder="1" applyAlignment="1">
      <alignment horizontal="center" vertical="center"/>
    </xf>
    <xf numFmtId="10" fontId="54" fillId="0" borderId="72" xfId="0" applyNumberFormat="1" applyFont="1" applyFill="1" applyBorder="1" applyAlignment="1">
      <alignment horizontal="center" vertical="center"/>
    </xf>
    <xf numFmtId="10" fontId="54" fillId="0" borderId="13" xfId="0" applyNumberFormat="1" applyFont="1" applyFill="1" applyBorder="1" applyAlignment="1">
      <alignment horizontal="center" vertical="center"/>
    </xf>
    <xf numFmtId="10" fontId="51" fillId="0" borderId="0" xfId="0" applyNumberFormat="1" applyFont="1" applyFill="1" applyBorder="1" applyAlignment="1">
      <alignment horizontal="center" vertical="center"/>
    </xf>
    <xf numFmtId="10" fontId="51" fillId="0" borderId="2" xfId="0" applyNumberFormat="1" applyFont="1" applyFill="1" applyBorder="1" applyAlignment="1">
      <alignment horizontal="center" vertical="center"/>
    </xf>
    <xf numFmtId="10" fontId="51" fillId="0" borderId="11" xfId="0" applyNumberFormat="1" applyFont="1" applyFill="1" applyBorder="1" applyAlignment="1">
      <alignment horizontal="center" vertical="center"/>
    </xf>
    <xf numFmtId="10" fontId="51" fillId="0" borderId="22" xfId="0" applyNumberFormat="1" applyFont="1" applyFill="1" applyBorder="1" applyAlignment="1">
      <alignment horizontal="center" vertical="center"/>
    </xf>
    <xf numFmtId="3" fontId="51" fillId="0" borderId="22" xfId="0" applyNumberFormat="1" applyFont="1" applyFill="1" applyBorder="1" applyAlignment="1">
      <alignment horizontal="center" vertical="center"/>
    </xf>
    <xf numFmtId="10" fontId="51" fillId="0" borderId="61" xfId="0" applyNumberFormat="1" applyFont="1" applyFill="1" applyBorder="1" applyAlignment="1">
      <alignment horizontal="center" vertical="center"/>
    </xf>
    <xf numFmtId="10" fontId="51" fillId="0" borderId="23" xfId="0" applyNumberFormat="1" applyFont="1" applyFill="1" applyBorder="1" applyAlignment="1">
      <alignment horizontal="center" vertical="center"/>
    </xf>
    <xf numFmtId="0" fontId="54" fillId="0" borderId="57" xfId="0" applyFont="1" applyFill="1" applyBorder="1" applyAlignment="1">
      <alignment horizontal="center" vertical="center" wrapText="1"/>
    </xf>
    <xf numFmtId="0" fontId="54" fillId="0" borderId="6" xfId="0" applyFont="1" applyFill="1" applyBorder="1" applyAlignment="1">
      <alignment horizontal="center" vertical="center"/>
    </xf>
    <xf numFmtId="1" fontId="54" fillId="0" borderId="0" xfId="0" applyNumberFormat="1" applyFont="1" applyFill="1" applyBorder="1" applyAlignment="1">
      <alignment horizontal="center" vertical="center"/>
    </xf>
    <xf numFmtId="0" fontId="54" fillId="0" borderId="50" xfId="0" applyFont="1" applyFill="1" applyBorder="1" applyAlignment="1">
      <alignment horizontal="center" vertical="center"/>
    </xf>
    <xf numFmtId="0" fontId="54" fillId="0" borderId="7" xfId="0" applyFont="1" applyFill="1" applyBorder="1" applyAlignment="1">
      <alignment horizontal="center" vertical="center"/>
    </xf>
    <xf numFmtId="2" fontId="54" fillId="0" borderId="0" xfId="0" applyNumberFormat="1" applyFont="1" applyFill="1" applyBorder="1" applyAlignment="1">
      <alignment horizontal="center" vertical="center"/>
    </xf>
    <xf numFmtId="10" fontId="51" fillId="0" borderId="44" xfId="0" applyNumberFormat="1" applyFont="1" applyFill="1" applyBorder="1" applyAlignment="1">
      <alignment horizontal="center" vertical="center"/>
    </xf>
    <xf numFmtId="3" fontId="51" fillId="0" borderId="44" xfId="0" applyNumberFormat="1" applyFont="1" applyFill="1" applyBorder="1" applyAlignment="1">
      <alignment horizontal="center" vertical="center"/>
    </xf>
    <xf numFmtId="10" fontId="51" fillId="0" borderId="62" xfId="0" applyNumberFormat="1" applyFont="1" applyFill="1" applyBorder="1" applyAlignment="1">
      <alignment horizontal="center" vertical="center"/>
    </xf>
    <xf numFmtId="10" fontId="51" fillId="0" borderId="45" xfId="0" applyNumberFormat="1" applyFont="1" applyFill="1" applyBorder="1" applyAlignment="1">
      <alignment horizontal="center" vertical="center"/>
    </xf>
    <xf numFmtId="0" fontId="54" fillId="0" borderId="75" xfId="0" applyFont="1" applyFill="1" applyBorder="1" applyAlignment="1">
      <alignment horizontal="center" vertical="center"/>
    </xf>
    <xf numFmtId="3" fontId="54" fillId="0" borderId="54" xfId="0" applyNumberFormat="1" applyFont="1" applyFill="1" applyBorder="1" applyAlignment="1">
      <alignment horizontal="center" vertical="center"/>
    </xf>
    <xf numFmtId="0" fontId="54" fillId="0" borderId="12" xfId="0" applyFont="1" applyFill="1" applyBorder="1" applyAlignment="1">
      <alignment horizontal="center" vertical="center"/>
    </xf>
    <xf numFmtId="0" fontId="54" fillId="0" borderId="27" xfId="0" applyFont="1" applyFill="1" applyBorder="1" applyAlignment="1">
      <alignment horizontal="center" vertical="center"/>
    </xf>
    <xf numFmtId="3" fontId="54" fillId="0" borderId="46" xfId="0" applyNumberFormat="1" applyFont="1" applyFill="1" applyBorder="1" applyAlignment="1">
      <alignment horizontal="center" vertical="center"/>
    </xf>
    <xf numFmtId="0" fontId="54" fillId="0" borderId="13" xfId="0" applyFont="1" applyFill="1" applyBorder="1" applyAlignment="1">
      <alignment horizontal="center" vertical="center"/>
    </xf>
    <xf numFmtId="10" fontId="51" fillId="0" borderId="12" xfId="0" applyNumberFormat="1" applyFont="1" applyFill="1" applyBorder="1" applyAlignment="1">
      <alignment horizontal="center" vertical="center"/>
    </xf>
    <xf numFmtId="3" fontId="51" fillId="0" borderId="12" xfId="0" applyNumberFormat="1" applyFont="1" applyFill="1" applyBorder="1" applyAlignment="1">
      <alignment horizontal="center" vertical="center"/>
    </xf>
    <xf numFmtId="10" fontId="51" fillId="0" borderId="27" xfId="0" applyNumberFormat="1" applyFont="1" applyFill="1" applyBorder="1" applyAlignment="1">
      <alignment horizontal="center" vertical="center"/>
    </xf>
    <xf numFmtId="10" fontId="51" fillId="0" borderId="13" xfId="0" applyNumberFormat="1" applyFont="1" applyFill="1" applyBorder="1" applyAlignment="1">
      <alignment horizontal="center" vertical="center"/>
    </xf>
    <xf numFmtId="0" fontId="54" fillId="0" borderId="0" xfId="5" applyFont="1" applyFill="1"/>
    <xf numFmtId="10" fontId="54" fillId="0" borderId="82" xfId="0" applyNumberFormat="1" applyFont="1" applyFill="1" applyBorder="1" applyAlignment="1">
      <alignment horizontal="center" vertical="center"/>
    </xf>
    <xf numFmtId="10" fontId="54" fillId="0" borderId="83" xfId="0" applyNumberFormat="1" applyFont="1" applyFill="1" applyBorder="1" applyAlignment="1">
      <alignment horizontal="center" vertical="center"/>
    </xf>
    <xf numFmtId="10" fontId="54" fillId="0" borderId="84" xfId="0" applyNumberFormat="1" applyFont="1" applyFill="1" applyBorder="1" applyAlignment="1">
      <alignment horizontal="center" vertical="center"/>
    </xf>
    <xf numFmtId="9" fontId="0" fillId="0" borderId="0" xfId="3" applyNumberFormat="1" applyFont="1" applyFill="1" applyBorder="1" applyAlignment="1">
      <alignment horizontal="center" vertical="center"/>
    </xf>
    <xf numFmtId="9" fontId="0" fillId="0" borderId="11" xfId="3" applyNumberFormat="1" applyFont="1" applyFill="1" applyBorder="1" applyAlignment="1">
      <alignment horizontal="center" vertical="center"/>
    </xf>
    <xf numFmtId="0" fontId="0" fillId="32" borderId="0" xfId="0" applyFill="1"/>
    <xf numFmtId="1" fontId="0" fillId="9" borderId="0" xfId="0" applyNumberFormat="1" applyFill="1"/>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3" borderId="57" xfId="0" applyFont="1" applyFill="1" applyBorder="1" applyAlignment="1">
      <alignment horizontal="center"/>
    </xf>
    <xf numFmtId="0" fontId="2" fillId="3" borderId="55" xfId="0" applyFont="1" applyFill="1" applyBorder="1" applyAlignment="1">
      <alignment horizontal="center"/>
    </xf>
    <xf numFmtId="0" fontId="2" fillId="3" borderId="56" xfId="0" applyFont="1" applyFill="1" applyBorder="1" applyAlignment="1">
      <alignment horizontal="center"/>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32" borderId="6" xfId="0" applyFill="1" applyBorder="1" applyAlignment="1">
      <alignment horizontal="left" vertical="top" wrapText="1"/>
    </xf>
    <xf numFmtId="0" fontId="0" fillId="32" borderId="0" xfId="0" applyFill="1" applyBorder="1" applyAlignment="1">
      <alignment horizontal="left" vertical="top" wrapText="1"/>
    </xf>
    <xf numFmtId="0" fontId="0" fillId="0" borderId="2" xfId="0" applyFill="1" applyBorder="1" applyAlignment="1">
      <alignment horizontal="center" vertical="center"/>
    </xf>
    <xf numFmtId="0" fontId="0" fillId="0" borderId="11" xfId="0" applyFill="1" applyBorder="1" applyAlignment="1">
      <alignment horizontal="center" vertical="center"/>
    </xf>
    <xf numFmtId="165" fontId="0" fillId="0" borderId="2"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3" fontId="40" fillId="7" borderId="21" xfId="0" applyNumberFormat="1" applyFont="1" applyFill="1" applyBorder="1" applyAlignment="1">
      <alignment horizontal="center" vertical="center"/>
    </xf>
    <xf numFmtId="3" fontId="40" fillId="7" borderId="22" xfId="0" applyNumberFormat="1" applyFont="1" applyFill="1" applyBorder="1" applyAlignment="1">
      <alignment horizontal="center" vertical="center"/>
    </xf>
    <xf numFmtId="3" fontId="40" fillId="7" borderId="23" xfId="0" applyNumberFormat="1" applyFont="1" applyFill="1" applyBorder="1" applyAlignment="1">
      <alignment horizontal="center" vertical="center"/>
    </xf>
    <xf numFmtId="0" fontId="33" fillId="7" borderId="8" xfId="0" applyFont="1" applyFill="1" applyBorder="1" applyAlignment="1">
      <alignment horizontal="center" vertical="center" wrapText="1"/>
    </xf>
    <xf numFmtId="0" fontId="33" fillId="7" borderId="9" xfId="0" applyFont="1" applyFill="1" applyBorder="1" applyAlignment="1">
      <alignment horizontal="center" vertical="center" wrapText="1"/>
    </xf>
    <xf numFmtId="0" fontId="33" fillId="7" borderId="10" xfId="0" applyFont="1" applyFill="1" applyBorder="1" applyAlignment="1">
      <alignment horizontal="center" vertical="center" wrapText="1"/>
    </xf>
    <xf numFmtId="0" fontId="40" fillId="7" borderId="21" xfId="0" applyFont="1" applyFill="1" applyBorder="1" applyAlignment="1">
      <alignment horizontal="center" vertical="center"/>
    </xf>
    <xf numFmtId="0" fontId="40" fillId="7" borderId="22" xfId="0" applyFont="1" applyFill="1" applyBorder="1" applyAlignment="1">
      <alignment horizontal="center" vertical="center"/>
    </xf>
    <xf numFmtId="0" fontId="40" fillId="7" borderId="23"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34" fillId="8" borderId="8" xfId="0" applyFont="1" applyFill="1" applyBorder="1" applyAlignment="1">
      <alignment horizontal="center" vertical="center" textRotation="90"/>
    </xf>
    <xf numFmtId="0" fontId="34" fillId="8" borderId="6" xfId="0" applyFont="1" applyFill="1" applyBorder="1" applyAlignment="1">
      <alignment horizontal="center" vertical="center" textRotation="90"/>
    </xf>
    <xf numFmtId="0" fontId="34" fillId="8" borderId="7" xfId="0" applyFont="1" applyFill="1" applyBorder="1" applyAlignment="1">
      <alignment horizontal="center" vertical="center" textRotation="90"/>
    </xf>
    <xf numFmtId="0" fontId="33" fillId="7" borderId="9" xfId="0" applyFont="1" applyFill="1" applyBorder="1" applyAlignment="1">
      <alignment horizontal="center" vertical="center"/>
    </xf>
    <xf numFmtId="0" fontId="34" fillId="11" borderId="8" xfId="0" applyFont="1" applyFill="1" applyBorder="1" applyAlignment="1">
      <alignment horizontal="center" vertical="center" textRotation="90"/>
    </xf>
    <xf numFmtId="0" fontId="34" fillId="11" borderId="6" xfId="0" applyFont="1" applyFill="1" applyBorder="1" applyAlignment="1">
      <alignment horizontal="center" vertical="center" textRotation="90"/>
    </xf>
    <xf numFmtId="0" fontId="34" fillId="11" borderId="7" xfId="0" applyFont="1" applyFill="1" applyBorder="1" applyAlignment="1">
      <alignment horizontal="center" vertical="center" textRotation="90"/>
    </xf>
    <xf numFmtId="0" fontId="33" fillId="7" borderId="10" xfId="0" applyFont="1" applyFill="1" applyBorder="1" applyAlignment="1">
      <alignment horizontal="center" vertical="center"/>
    </xf>
    <xf numFmtId="0" fontId="7" fillId="8" borderId="14" xfId="0" applyFont="1" applyFill="1" applyBorder="1" applyAlignment="1">
      <alignment horizontal="left" vertical="center"/>
    </xf>
    <xf numFmtId="0" fontId="7" fillId="8" borderId="16" xfId="0" applyFont="1" applyFill="1" applyBorder="1" applyAlignment="1">
      <alignment horizontal="left" vertical="center"/>
    </xf>
    <xf numFmtId="0" fontId="7" fillId="8" borderId="8" xfId="0" applyFont="1" applyFill="1" applyBorder="1" applyAlignment="1">
      <alignment horizontal="left" vertical="center"/>
    </xf>
    <xf numFmtId="0" fontId="7" fillId="8" borderId="19" xfId="0" applyFont="1" applyFill="1" applyBorder="1" applyAlignment="1">
      <alignment horizontal="left" vertical="center"/>
    </xf>
    <xf numFmtId="0" fontId="7" fillId="11" borderId="14" xfId="0" applyFont="1" applyFill="1" applyBorder="1" applyAlignment="1">
      <alignment horizontal="left" vertical="center"/>
    </xf>
    <xf numFmtId="0" fontId="7" fillId="11" borderId="16" xfId="0" applyFont="1" applyFill="1" applyBorder="1" applyAlignment="1">
      <alignment horizontal="left" vertical="center"/>
    </xf>
    <xf numFmtId="49" fontId="33" fillId="7" borderId="9" xfId="0" applyNumberFormat="1" applyFont="1" applyFill="1" applyBorder="1" applyAlignment="1">
      <alignment horizontal="center" vertical="center" wrapText="1"/>
    </xf>
    <xf numFmtId="49" fontId="33" fillId="7" borderId="8" xfId="0" applyNumberFormat="1" applyFont="1" applyFill="1" applyBorder="1" applyAlignment="1">
      <alignment horizontal="center" vertical="center" wrapText="1"/>
    </xf>
    <xf numFmtId="0" fontId="34" fillId="11" borderId="14" xfId="0" applyFont="1" applyFill="1" applyBorder="1" applyAlignment="1">
      <alignment horizontal="center" vertical="center" textRotation="90"/>
    </xf>
    <xf numFmtId="0" fontId="34" fillId="11" borderId="15" xfId="0" applyFont="1" applyFill="1" applyBorder="1" applyAlignment="1">
      <alignment horizontal="center" vertical="center" textRotation="90"/>
    </xf>
    <xf numFmtId="0" fontId="34" fillId="11" borderId="16" xfId="0" applyFont="1" applyFill="1" applyBorder="1" applyAlignment="1">
      <alignment horizontal="center" vertical="center" textRotation="90"/>
    </xf>
    <xf numFmtId="0" fontId="7" fillId="11" borderId="25" xfId="0" applyFont="1" applyFill="1" applyBorder="1" applyAlignment="1">
      <alignment horizontal="left" vertical="center"/>
    </xf>
    <xf numFmtId="0" fontId="7" fillId="6" borderId="14" xfId="0" applyFont="1" applyFill="1" applyBorder="1" applyAlignment="1">
      <alignment horizontal="left" vertical="center"/>
    </xf>
    <xf numFmtId="0" fontId="7" fillId="6" borderId="16"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4" fillId="9" borderId="14" xfId="0" applyFont="1" applyFill="1" applyBorder="1" applyAlignment="1">
      <alignment horizontal="center" vertical="center" textRotation="90"/>
    </xf>
    <xf numFmtId="0" fontId="34" fillId="9" borderId="15" xfId="0" applyFont="1" applyFill="1" applyBorder="1" applyAlignment="1">
      <alignment horizontal="center" vertical="center" textRotation="90"/>
    </xf>
    <xf numFmtId="0" fontId="34" fillId="9" borderId="16" xfId="0" applyFont="1" applyFill="1" applyBorder="1" applyAlignment="1">
      <alignment horizontal="center" vertical="center" textRotation="90"/>
    </xf>
    <xf numFmtId="0" fontId="34" fillId="9" borderId="8" xfId="0" applyFont="1" applyFill="1" applyBorder="1" applyAlignment="1">
      <alignment horizontal="center" vertical="center" textRotation="90"/>
    </xf>
    <xf numFmtId="0" fontId="34" fillId="9" borderId="6" xfId="0" applyFont="1" applyFill="1" applyBorder="1" applyAlignment="1">
      <alignment horizontal="center" vertical="center" textRotation="90"/>
    </xf>
    <xf numFmtId="0" fontId="34" fillId="9" borderId="7" xfId="0" applyFont="1" applyFill="1" applyBorder="1" applyAlignment="1">
      <alignment horizontal="center" vertical="center" textRotation="90"/>
    </xf>
    <xf numFmtId="0" fontId="34" fillId="6" borderId="8" xfId="0" applyFont="1" applyFill="1" applyBorder="1" applyAlignment="1">
      <alignment horizontal="center" vertical="center" textRotation="90"/>
    </xf>
    <xf numFmtId="0" fontId="34" fillId="6" borderId="6" xfId="0" applyFont="1" applyFill="1" applyBorder="1" applyAlignment="1">
      <alignment horizontal="center" vertical="center" textRotation="90"/>
    </xf>
    <xf numFmtId="0" fontId="34" fillId="6" borderId="7" xfId="0" applyFont="1" applyFill="1" applyBorder="1" applyAlignment="1">
      <alignment horizontal="center" vertical="center" textRotation="90"/>
    </xf>
    <xf numFmtId="0" fontId="20" fillId="7" borderId="8" xfId="0" applyFont="1" applyFill="1" applyBorder="1" applyAlignment="1">
      <alignment horizontal="center" vertical="center" wrapText="1"/>
    </xf>
    <xf numFmtId="0" fontId="20" fillId="7" borderId="9" xfId="0" applyFont="1" applyFill="1" applyBorder="1" applyAlignment="1">
      <alignment horizontal="center" vertical="center" wrapText="1"/>
    </xf>
    <xf numFmtId="49" fontId="20" fillId="7" borderId="8" xfId="0" applyNumberFormat="1" applyFont="1" applyFill="1" applyBorder="1" applyAlignment="1">
      <alignment horizontal="center" vertical="center" wrapText="1"/>
    </xf>
    <xf numFmtId="49" fontId="20" fillId="7" borderId="9" xfId="0" applyNumberFormat="1" applyFont="1" applyFill="1" applyBorder="1" applyAlignment="1">
      <alignment horizontal="center" vertical="center" wrapText="1"/>
    </xf>
    <xf numFmtId="0" fontId="20" fillId="7" borderId="9" xfId="0" applyFont="1" applyFill="1" applyBorder="1" applyAlignment="1">
      <alignment horizontal="center" vertical="center"/>
    </xf>
    <xf numFmtId="0" fontId="7" fillId="6" borderId="25" xfId="0" applyFont="1" applyFill="1" applyBorder="1" applyAlignment="1">
      <alignment horizontal="left" vertical="center"/>
    </xf>
    <xf numFmtId="0" fontId="7" fillId="9" borderId="14" xfId="0" applyFont="1" applyFill="1" applyBorder="1" applyAlignment="1">
      <alignment horizontal="left" vertical="center"/>
    </xf>
    <xf numFmtId="0" fontId="7" fillId="9" borderId="25" xfId="0" applyFont="1" applyFill="1" applyBorder="1" applyAlignment="1">
      <alignment horizontal="left" vertical="center"/>
    </xf>
    <xf numFmtId="0" fontId="20" fillId="7" borderId="1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0" fillId="7" borderId="21" xfId="0" applyFont="1" applyFill="1" applyBorder="1" applyAlignment="1">
      <alignment horizontal="center" vertical="center"/>
    </xf>
    <xf numFmtId="0" fontId="20" fillId="7" borderId="22" xfId="0" applyFont="1" applyFill="1" applyBorder="1" applyAlignment="1">
      <alignment horizontal="center" vertical="center"/>
    </xf>
    <xf numFmtId="0" fontId="20" fillId="7" borderId="23" xfId="0" applyFont="1" applyFill="1" applyBorder="1" applyAlignment="1">
      <alignment horizontal="center" vertical="center"/>
    </xf>
    <xf numFmtId="0" fontId="7" fillId="3" borderId="1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25" fillId="0" borderId="0" xfId="5"/>
    <xf numFmtId="0" fontId="51" fillId="0" borderId="21"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2" fillId="0" borderId="64"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29"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9" fontId="0" fillId="0" borderId="35" xfId="0" applyNumberFormat="1" applyFill="1" applyBorder="1" applyAlignment="1">
      <alignment horizontal="center" vertical="center" wrapText="1"/>
    </xf>
    <xf numFmtId="9" fontId="0" fillId="0" borderId="15" xfId="0" applyNumberFormat="1" applyFill="1" applyBorder="1" applyAlignment="1">
      <alignment horizontal="center" vertical="center" wrapText="1"/>
    </xf>
    <xf numFmtId="9" fontId="0" fillId="0" borderId="25" xfId="0" applyNumberFormat="1" applyFill="1" applyBorder="1" applyAlignment="1">
      <alignment horizontal="center" vertical="center" wrapText="1"/>
    </xf>
    <xf numFmtId="9" fontId="0" fillId="0" borderId="35" xfId="0" applyNumberFormat="1" applyFont="1" applyFill="1" applyBorder="1" applyAlignment="1">
      <alignment horizontal="center" vertical="center"/>
    </xf>
    <xf numFmtId="9" fontId="0" fillId="0" borderId="15"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6" xfId="0" applyFill="1" applyBorder="1" applyAlignment="1">
      <alignment horizontal="left" vertical="top" wrapText="1"/>
    </xf>
    <xf numFmtId="0" fontId="0" fillId="0" borderId="0" xfId="0" applyFill="1" applyBorder="1" applyAlignment="1">
      <alignment horizontal="left" vertical="top" wrapText="1"/>
    </xf>
    <xf numFmtId="0" fontId="0" fillId="0" borderId="11" xfId="0" applyFill="1" applyBorder="1" applyAlignment="1">
      <alignment horizontal="left" vertical="top" wrapText="1"/>
    </xf>
    <xf numFmtId="0" fontId="0" fillId="0" borderId="7"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1" fillId="0" borderId="21" xfId="5" applyFont="1" applyFill="1" applyBorder="1" applyAlignment="1">
      <alignment horizontal="center"/>
    </xf>
    <xf numFmtId="0" fontId="51" fillId="0" borderId="22" xfId="5" applyFont="1" applyFill="1" applyBorder="1" applyAlignment="1">
      <alignment horizontal="center"/>
    </xf>
    <xf numFmtId="0" fontId="51" fillId="0" borderId="23" xfId="5" applyFont="1" applyFill="1" applyBorder="1" applyAlignment="1">
      <alignment horizontal="center"/>
    </xf>
    <xf numFmtId="0" fontId="51" fillId="0" borderId="9" xfId="0" applyFont="1" applyFill="1" applyBorder="1" applyAlignment="1">
      <alignment horizontal="center" vertical="center"/>
    </xf>
    <xf numFmtId="0" fontId="51" fillId="0" borderId="64" xfId="0" applyFont="1" applyFill="1" applyBorder="1" applyAlignment="1">
      <alignment horizontal="center" vertical="center"/>
    </xf>
    <xf numFmtId="0" fontId="51" fillId="0" borderId="29"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4"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21"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3" xfId="0" applyFont="1" applyFill="1" applyBorder="1" applyAlignment="1">
      <alignment horizontal="center" vertical="center"/>
    </xf>
    <xf numFmtId="0" fontId="35" fillId="0" borderId="0" xfId="0" applyFont="1" applyAlignment="1">
      <alignment horizontal="center" vertical="center" wrapText="1"/>
    </xf>
    <xf numFmtId="0" fontId="38" fillId="13" borderId="0" xfId="1" applyFont="1" applyFill="1" applyBorder="1" applyAlignment="1">
      <alignment horizontal="center" vertical="center"/>
    </xf>
    <xf numFmtId="0" fontId="0" fillId="8" borderId="21" xfId="0" applyFill="1" applyBorder="1" applyAlignment="1">
      <alignment horizontal="center" vertical="center"/>
    </xf>
    <xf numFmtId="0" fontId="0" fillId="8" borderId="22" xfId="0" applyFill="1" applyBorder="1" applyAlignment="1">
      <alignment horizontal="center" vertical="center"/>
    </xf>
    <xf numFmtId="0" fontId="0" fillId="8" borderId="23" xfId="0" applyFill="1" applyBorder="1" applyAlignment="1">
      <alignment horizontal="center" vertical="center"/>
    </xf>
    <xf numFmtId="0" fontId="31" fillId="24" borderId="22" xfId="0" applyFont="1" applyFill="1" applyBorder="1" applyAlignment="1">
      <alignment horizontal="center" vertical="center"/>
    </xf>
    <xf numFmtId="0" fontId="31" fillId="19" borderId="22" xfId="0" applyFont="1" applyFill="1" applyBorder="1" applyAlignment="1">
      <alignment horizontal="center" vertical="center"/>
    </xf>
    <xf numFmtId="0" fontId="31" fillId="22" borderId="22" xfId="0" applyFont="1" applyFill="1" applyBorder="1" applyAlignment="1">
      <alignment horizontal="center" vertical="center"/>
    </xf>
    <xf numFmtId="0" fontId="0" fillId="26" borderId="21" xfId="0" applyFill="1" applyBorder="1" applyAlignment="1">
      <alignment horizontal="center" vertical="center"/>
    </xf>
    <xf numFmtId="0" fontId="0" fillId="26" borderId="22" xfId="0" applyFill="1" applyBorder="1" applyAlignment="1">
      <alignment horizontal="center" vertical="center"/>
    </xf>
    <xf numFmtId="0" fontId="0" fillId="26" borderId="23"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26" borderId="8" xfId="0" applyFill="1" applyBorder="1" applyAlignment="1">
      <alignment horizontal="center" vertical="center"/>
    </xf>
    <xf numFmtId="0" fontId="0" fillId="26" borderId="9" xfId="0" applyFill="1" applyBorder="1" applyAlignment="1">
      <alignment horizontal="center" vertical="center"/>
    </xf>
    <xf numFmtId="0" fontId="0" fillId="26" borderId="10" xfId="0" applyFill="1" applyBorder="1" applyAlignment="1">
      <alignment horizontal="center"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25" fillId="0" borderId="8" xfId="5" applyBorder="1" applyAlignment="1">
      <alignment horizontal="center" vertical="center" wrapText="1"/>
    </xf>
    <xf numFmtId="0" fontId="25" fillId="0" borderId="9" xfId="5" applyBorder="1" applyAlignment="1">
      <alignment horizontal="center" vertical="center" wrapText="1"/>
    </xf>
    <xf numFmtId="0" fontId="25" fillId="0" borderId="10" xfId="5" applyBorder="1" applyAlignment="1">
      <alignment horizontal="center" vertical="center" wrapText="1"/>
    </xf>
    <xf numFmtId="0" fontId="25" fillId="0" borderId="6" xfId="5" applyBorder="1" applyAlignment="1">
      <alignment horizontal="center" vertical="center" wrapText="1"/>
    </xf>
    <xf numFmtId="0" fontId="25" fillId="0" borderId="0" xfId="5" applyBorder="1" applyAlignment="1">
      <alignment horizontal="center" vertical="center" wrapText="1"/>
    </xf>
    <xf numFmtId="0" fontId="25" fillId="0" borderId="11" xfId="5" applyBorder="1" applyAlignment="1">
      <alignment horizontal="center" vertical="center" wrapText="1"/>
    </xf>
    <xf numFmtId="0" fontId="25" fillId="0" borderId="7" xfId="5" applyBorder="1" applyAlignment="1">
      <alignment horizontal="center" vertical="center" wrapText="1"/>
    </xf>
    <xf numFmtId="0" fontId="25" fillId="0" borderId="12" xfId="5" applyBorder="1" applyAlignment="1">
      <alignment horizontal="center" vertical="center" wrapText="1"/>
    </xf>
    <xf numFmtId="0" fontId="25" fillId="0" borderId="13" xfId="5" applyBorder="1" applyAlignment="1">
      <alignment horizontal="center" vertical="center" wrapText="1"/>
    </xf>
    <xf numFmtId="0" fontId="0" fillId="20" borderId="33" xfId="0" applyFont="1" applyFill="1" applyBorder="1" applyAlignment="1">
      <alignment horizontal="center" vertical="center"/>
    </xf>
    <xf numFmtId="0" fontId="0" fillId="20" borderId="34" xfId="0" applyFont="1" applyFill="1" applyBorder="1" applyAlignment="1">
      <alignment horizontal="center" vertical="center"/>
    </xf>
    <xf numFmtId="0" fontId="4" fillId="20" borderId="33" xfId="5" applyFont="1" applyFill="1" applyBorder="1" applyAlignment="1">
      <alignment horizontal="center" vertical="center"/>
    </xf>
    <xf numFmtId="0" fontId="4" fillId="20" borderId="34" xfId="5" applyFont="1" applyFill="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2" borderId="57"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56" xfId="0" applyFont="1" applyBorder="1" applyAlignment="1">
      <alignment horizontal="center" vertical="center"/>
    </xf>
    <xf numFmtId="0" fontId="0" fillId="28" borderId="14" xfId="0" applyFill="1" applyBorder="1" applyAlignment="1">
      <alignment horizontal="center" vertical="center" wrapText="1"/>
    </xf>
    <xf numFmtId="0" fontId="0" fillId="28" borderId="15" xfId="0" applyFill="1" applyBorder="1" applyAlignment="1">
      <alignment horizontal="center" vertical="center" wrapText="1"/>
    </xf>
    <xf numFmtId="0" fontId="0" fillId="28" borderId="16" xfId="0" applyFill="1" applyBorder="1" applyAlignment="1">
      <alignment horizontal="center" vertical="center" wrapText="1"/>
    </xf>
    <xf numFmtId="0" fontId="0" fillId="31" borderId="14"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28" borderId="14" xfId="0" applyFill="1" applyBorder="1" applyAlignment="1">
      <alignment horizontal="center" vertical="center"/>
    </xf>
    <xf numFmtId="0" fontId="0" fillId="28" borderId="15" xfId="0" applyFill="1" applyBorder="1" applyAlignment="1">
      <alignment horizontal="center" vertical="center"/>
    </xf>
    <xf numFmtId="0" fontId="0" fillId="28" borderId="16" xfId="0" applyFill="1" applyBorder="1" applyAlignment="1">
      <alignment horizontal="center" vertical="center"/>
    </xf>
    <xf numFmtId="0" fontId="0" fillId="31" borderId="14" xfId="0" applyFill="1" applyBorder="1" applyAlignment="1">
      <alignment horizontal="center" vertical="center"/>
    </xf>
    <xf numFmtId="0" fontId="0" fillId="31" borderId="15" xfId="0" applyFill="1" applyBorder="1" applyAlignment="1">
      <alignment horizontal="center" vertical="center"/>
    </xf>
    <xf numFmtId="0" fontId="0" fillId="31" borderId="16"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1" fillId="29" borderId="62" xfId="0" applyFont="1" applyFill="1" applyBorder="1" applyAlignment="1">
      <alignment horizontal="center"/>
    </xf>
    <xf numFmtId="0" fontId="41" fillId="29" borderId="44" xfId="0" applyFont="1" applyFill="1" applyBorder="1" applyAlignment="1">
      <alignment horizontal="center"/>
    </xf>
    <xf numFmtId="0" fontId="41" fillId="29" borderId="44" xfId="0" applyFont="1" applyFill="1" applyBorder="1" applyAlignment="1">
      <alignment horizontal="center" wrapText="1"/>
    </xf>
    <xf numFmtId="0" fontId="2" fillId="30" borderId="14" xfId="0" applyFont="1" applyFill="1" applyBorder="1" applyAlignment="1">
      <alignment horizontal="center" vertical="center"/>
    </xf>
    <xf numFmtId="0" fontId="2" fillId="30" borderId="15" xfId="0" applyFont="1" applyFill="1" applyBorder="1" applyAlignment="1">
      <alignment horizontal="center" vertical="center"/>
    </xf>
    <xf numFmtId="0" fontId="2" fillId="30" borderId="16" xfId="0" applyFont="1" applyFill="1" applyBorder="1" applyAlignment="1">
      <alignment horizontal="center" vertical="center"/>
    </xf>
    <xf numFmtId="0" fontId="2" fillId="28" borderId="14" xfId="0" applyFont="1" applyFill="1" applyBorder="1" applyAlignment="1">
      <alignment horizontal="center" vertical="center"/>
    </xf>
    <xf numFmtId="0" fontId="2" fillId="28" borderId="15" xfId="0" applyFont="1" applyFill="1" applyBorder="1" applyAlignment="1">
      <alignment horizontal="center" vertical="center"/>
    </xf>
    <xf numFmtId="0" fontId="2" fillId="28" borderId="16" xfId="0" applyFont="1" applyFill="1" applyBorder="1" applyAlignment="1">
      <alignment horizontal="center" vertical="center"/>
    </xf>
    <xf numFmtId="0" fontId="22" fillId="31" borderId="21" xfId="0" applyFont="1" applyFill="1" applyBorder="1" applyAlignment="1">
      <alignment horizontal="center"/>
    </xf>
    <xf numFmtId="0" fontId="22" fillId="31" borderId="22" xfId="0" applyFont="1" applyFill="1" applyBorder="1" applyAlignment="1">
      <alignment horizontal="center"/>
    </xf>
    <xf numFmtId="0" fontId="22" fillId="31" borderId="23" xfId="0" applyFont="1" applyFill="1" applyBorder="1" applyAlignment="1">
      <alignment horizontal="center"/>
    </xf>
    <xf numFmtId="0" fontId="22" fillId="28" borderId="21" xfId="0" applyFont="1" applyFill="1" applyBorder="1" applyAlignment="1">
      <alignment horizontal="center" vertical="center"/>
    </xf>
    <xf numFmtId="0" fontId="22" fillId="28" borderId="22" xfId="0" applyFont="1" applyFill="1" applyBorder="1" applyAlignment="1">
      <alignment horizontal="center" vertical="center"/>
    </xf>
    <xf numFmtId="0" fontId="22" fillId="28" borderId="23" xfId="0" applyFont="1" applyFill="1" applyBorder="1" applyAlignment="1">
      <alignment horizontal="center" vertical="center"/>
    </xf>
    <xf numFmtId="0" fontId="0" fillId="0" borderId="15" xfId="0" applyBorder="1" applyAlignment="1">
      <alignment horizontal="center" vertical="center" wrapText="1"/>
    </xf>
  </cellXfs>
  <cellStyles count="7">
    <cellStyle name="Comma" xfId="4" builtinId="3"/>
    <cellStyle name="Explanatory Text" xfId="1" builtinId="53"/>
    <cellStyle name="Input" xfId="2" builtinId="20"/>
    <cellStyle name="Neutral" xfId="6" builtinId="28"/>
    <cellStyle name="Normal" xfId="0" builtinId="0"/>
    <cellStyle name="Normal 2" xfId="5"/>
    <cellStyle name="Percent" xfId="3" builtinId="5"/>
  </cellStyles>
  <dxfs count="48">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
      <font>
        <b/>
        <i/>
      </font>
      <fill>
        <patternFill>
          <bgColor rgb="FFFF0000"/>
        </patternFill>
      </fill>
    </dxf>
  </dxfs>
  <tableStyles count="0" defaultTableStyle="TableStyleMedium2" defaultPivotStyle="PivotStyleMedium9"/>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Passenger transport energy demand, PJ</a:t>
            </a:r>
          </a:p>
        </c:rich>
      </c:tx>
      <c:overlay val="0"/>
    </c:title>
    <c:autoTitleDeleted val="0"/>
    <c:plotArea>
      <c:layout/>
      <c:barChart>
        <c:barDir val="col"/>
        <c:grouping val="stacked"/>
        <c:varyColors val="0"/>
        <c:ser>
          <c:idx val="0"/>
          <c:order val="0"/>
          <c:tx>
            <c:strRef>
              <c:f>Results!$B$65</c:f>
              <c:strCache>
                <c:ptCount val="1"/>
                <c:pt idx="0">
                  <c:v>Cars and vans &lt; 2 t</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Results!$C$65:$G$65</c:f>
              <c:numCache>
                <c:formatCode>0</c:formatCode>
                <c:ptCount val="5"/>
                <c:pt idx="0">
                  <c:v>91.793355476646269</c:v>
                </c:pt>
                <c:pt idx="1">
                  <c:v>97.212619593283392</c:v>
                </c:pt>
                <c:pt idx="2">
                  <c:v>102.96899091845901</c:v>
                </c:pt>
                <c:pt idx="3">
                  <c:v>109.80880672338913</c:v>
                </c:pt>
                <c:pt idx="4">
                  <c:v>116.64862252831922</c:v>
                </c:pt>
              </c:numCache>
            </c:numRef>
          </c:val>
        </c:ser>
        <c:ser>
          <c:idx val="1"/>
          <c:order val="1"/>
          <c:tx>
            <c:strRef>
              <c:f>Results!$B$66</c:f>
              <c:strCache>
                <c:ptCount val="1"/>
                <c:pt idx="0">
                  <c:v>Bus</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Results!$C$66:$G$66</c:f>
              <c:numCache>
                <c:formatCode>0</c:formatCode>
                <c:ptCount val="5"/>
                <c:pt idx="0">
                  <c:v>8.9602048965998105</c:v>
                </c:pt>
                <c:pt idx="1">
                  <c:v>8.5291201741195728</c:v>
                </c:pt>
                <c:pt idx="2">
                  <c:v>7.908606957862589</c:v>
                </c:pt>
                <c:pt idx="3">
                  <c:v>7.6963341873848776</c:v>
                </c:pt>
                <c:pt idx="4">
                  <c:v>7.4840614169071653</c:v>
                </c:pt>
              </c:numCache>
            </c:numRef>
          </c:val>
        </c:ser>
        <c:ser>
          <c:idx val="2"/>
          <c:order val="2"/>
          <c:tx>
            <c:strRef>
              <c:f>Results!$B$67</c:f>
              <c:strCache>
                <c:ptCount val="1"/>
                <c:pt idx="0">
                  <c:v>Rail</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Results!$C$67:$G$67</c:f>
              <c:numCache>
                <c:formatCode>0</c:formatCode>
                <c:ptCount val="5"/>
                <c:pt idx="0">
                  <c:v>3.9226296444444442</c:v>
                </c:pt>
                <c:pt idx="1">
                  <c:v>2.6599693844492278</c:v>
                </c:pt>
                <c:pt idx="2">
                  <c:v>2.8326932118478378</c:v>
                </c:pt>
                <c:pt idx="3">
                  <c:v>2.8685255252994484</c:v>
                </c:pt>
                <c:pt idx="4">
                  <c:v>2.9043578387510589</c:v>
                </c:pt>
              </c:numCache>
            </c:numRef>
          </c:val>
        </c:ser>
        <c:ser>
          <c:idx val="4"/>
          <c:order val="3"/>
          <c:tx>
            <c:strRef>
              <c:f>Results!$B$68</c:f>
              <c:strCache>
                <c:ptCount val="1"/>
                <c:pt idx="0">
                  <c:v>Air</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Results!$C$68:$G$68</c:f>
              <c:numCache>
                <c:formatCode>0</c:formatCode>
                <c:ptCount val="5"/>
                <c:pt idx="0">
                  <c:v>26.689175738372644</c:v>
                </c:pt>
                <c:pt idx="1">
                  <c:v>33.40940022420309</c:v>
                </c:pt>
                <c:pt idx="2">
                  <c:v>36.331487865090637</c:v>
                </c:pt>
                <c:pt idx="3">
                  <c:v>34.339680266271827</c:v>
                </c:pt>
                <c:pt idx="4">
                  <c:v>32.347872667453018</c:v>
                </c:pt>
              </c:numCache>
            </c:numRef>
          </c:val>
        </c:ser>
        <c:ser>
          <c:idx val="5"/>
          <c:order val="4"/>
          <c:tx>
            <c:strRef>
              <c:f>Results!$B$69</c:f>
              <c:strCache>
                <c:ptCount val="1"/>
                <c:pt idx="0">
                  <c:v>Sea</c:v>
                </c:pt>
              </c:strCache>
            </c:strRef>
          </c:tx>
          <c:invertIfNegative val="0"/>
          <c:cat>
            <c:numRef>
              <c:f>Results!$C$63:$G$63</c:f>
              <c:numCache>
                <c:formatCode>General</c:formatCode>
                <c:ptCount val="5"/>
                <c:pt idx="0">
                  <c:v>2010</c:v>
                </c:pt>
                <c:pt idx="1">
                  <c:v>2020</c:v>
                </c:pt>
                <c:pt idx="2">
                  <c:v>2030</c:v>
                </c:pt>
                <c:pt idx="3">
                  <c:v>2040</c:v>
                </c:pt>
                <c:pt idx="4">
                  <c:v>2050</c:v>
                </c:pt>
              </c:numCache>
            </c:numRef>
          </c:cat>
          <c:val>
            <c:numRef>
              <c:f>Results!$C$69:$G$69</c:f>
              <c:numCache>
                <c:formatCode>0</c:formatCode>
                <c:ptCount val="5"/>
                <c:pt idx="0">
                  <c:v>2.7164040100250633</c:v>
                </c:pt>
                <c:pt idx="1">
                  <c:v>2.7583459480918591</c:v>
                </c:pt>
                <c:pt idx="2">
                  <c:v>2.728427023004631</c:v>
                </c:pt>
                <c:pt idx="3">
                  <c:v>2.7416384342773208</c:v>
                </c:pt>
                <c:pt idx="4">
                  <c:v>2.7548498455500101</c:v>
                </c:pt>
              </c:numCache>
            </c:numRef>
          </c:val>
        </c:ser>
        <c:dLbls>
          <c:showLegendKey val="0"/>
          <c:showVal val="0"/>
          <c:showCatName val="0"/>
          <c:showSerName val="0"/>
          <c:showPercent val="0"/>
          <c:showBubbleSize val="0"/>
        </c:dLbls>
        <c:gapWidth val="150"/>
        <c:overlap val="100"/>
        <c:axId val="115435320"/>
        <c:axId val="115426304"/>
      </c:barChart>
      <c:catAx>
        <c:axId val="115435320"/>
        <c:scaling>
          <c:orientation val="minMax"/>
        </c:scaling>
        <c:delete val="0"/>
        <c:axPos val="b"/>
        <c:numFmt formatCode="General" sourceLinked="1"/>
        <c:majorTickMark val="out"/>
        <c:minorTickMark val="none"/>
        <c:tickLblPos val="nextTo"/>
        <c:crossAx val="115426304"/>
        <c:crosses val="autoZero"/>
        <c:auto val="1"/>
        <c:lblAlgn val="ctr"/>
        <c:lblOffset val="100"/>
        <c:noMultiLvlLbl val="0"/>
      </c:catAx>
      <c:valAx>
        <c:axId val="115426304"/>
        <c:scaling>
          <c:orientation val="minMax"/>
        </c:scaling>
        <c:delete val="0"/>
        <c:axPos val="l"/>
        <c:majorGridlines/>
        <c:numFmt formatCode="#,##0" sourceLinked="0"/>
        <c:majorTickMark val="out"/>
        <c:minorTickMark val="none"/>
        <c:tickLblPos val="nextTo"/>
        <c:crossAx val="115435320"/>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system costs, </a:t>
            </a:r>
            <a:br>
              <a:rPr lang="en-US"/>
            </a:br>
            <a:r>
              <a:rPr lang="en-US"/>
              <a:t>High modal shift / medium transport demand growth </a:t>
            </a:r>
          </a:p>
        </c:rich>
      </c:tx>
      <c:overlay val="0"/>
    </c:title>
    <c:autoTitleDeleted val="0"/>
    <c:plotArea>
      <c:layout/>
      <c:barChart>
        <c:barDir val="col"/>
        <c:grouping val="stacked"/>
        <c:varyColors val="0"/>
        <c:ser>
          <c:idx val="1"/>
          <c:order val="0"/>
          <c:tx>
            <c:strRef>
              <c:f>Results!$AA$50</c:f>
              <c:strCache>
                <c:ptCount val="1"/>
                <c:pt idx="0">
                  <c:v>Fuel / Energy</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Results!$AB$50:$AF$50</c:f>
              <c:numCache>
                <c:formatCode>General</c:formatCode>
                <c:ptCount val="5"/>
                <c:pt idx="0">
                  <c:v>0</c:v>
                </c:pt>
                <c:pt idx="1">
                  <c:v>0</c:v>
                </c:pt>
                <c:pt idx="2">
                  <c:v>0</c:v>
                </c:pt>
                <c:pt idx="3">
                  <c:v>0</c:v>
                </c:pt>
                <c:pt idx="4">
                  <c:v>0</c:v>
                </c:pt>
              </c:numCache>
            </c:numRef>
          </c:val>
        </c:ser>
        <c:ser>
          <c:idx val="2"/>
          <c:order val="1"/>
          <c:tx>
            <c:strRef>
              <c:f>Results!$AA$51</c:f>
              <c:strCache>
                <c:ptCount val="1"/>
                <c:pt idx="0">
                  <c:v>Vehicle</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Results!$AB$51:$AF$51</c:f>
              <c:numCache>
                <c:formatCode>0</c:formatCode>
                <c:ptCount val="5"/>
                <c:pt idx="0">
                  <c:v>32064.888156097979</c:v>
                </c:pt>
                <c:pt idx="1">
                  <c:v>35631.326849959005</c:v>
                </c:pt>
                <c:pt idx="2">
                  <c:v>39227.700696345884</c:v>
                </c:pt>
                <c:pt idx="3">
                  <c:v>39742.267612833944</c:v>
                </c:pt>
                <c:pt idx="4">
                  <c:v>40256.834529322005</c:v>
                </c:pt>
              </c:numCache>
            </c:numRef>
          </c:val>
        </c:ser>
        <c:ser>
          <c:idx val="3"/>
          <c:order val="2"/>
          <c:tx>
            <c:strRef>
              <c:f>Results!$AA$52</c:f>
              <c:strCache>
                <c:ptCount val="1"/>
                <c:pt idx="0">
                  <c:v>Vehicle O&amp;M</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Results!$AB$52:$AF$52</c:f>
              <c:numCache>
                <c:formatCode>0</c:formatCode>
                <c:ptCount val="5"/>
                <c:pt idx="0">
                  <c:v>19450.760452184386</c:v>
                </c:pt>
                <c:pt idx="1">
                  <c:v>21598.592633655244</c:v>
                </c:pt>
                <c:pt idx="2">
                  <c:v>24147.197985700957</c:v>
                </c:pt>
                <c:pt idx="3">
                  <c:v>24347.10326546523</c:v>
                </c:pt>
                <c:pt idx="4">
                  <c:v>24547.008545229499</c:v>
                </c:pt>
              </c:numCache>
            </c:numRef>
          </c:val>
        </c:ser>
        <c:ser>
          <c:idx val="4"/>
          <c:order val="3"/>
          <c:tx>
            <c:strRef>
              <c:f>Results!$AA$53</c:f>
              <c:strCache>
                <c:ptCount val="1"/>
                <c:pt idx="0">
                  <c:v>EV Charging stations</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Results!$AB$53:$AF$53</c:f>
              <c:numCache>
                <c:formatCode>0</c:formatCode>
                <c:ptCount val="5"/>
                <c:pt idx="0">
                  <c:v>0</c:v>
                </c:pt>
                <c:pt idx="1">
                  <c:v>0</c:v>
                </c:pt>
                <c:pt idx="2">
                  <c:v>0</c:v>
                </c:pt>
                <c:pt idx="3">
                  <c:v>0</c:v>
                </c:pt>
                <c:pt idx="4">
                  <c:v>0</c:v>
                </c:pt>
              </c:numCache>
            </c:numRef>
          </c:val>
        </c:ser>
        <c:ser>
          <c:idx val="5"/>
          <c:order val="4"/>
          <c:tx>
            <c:strRef>
              <c:f>Results!$AA$54</c:f>
              <c:strCache>
                <c:ptCount val="1"/>
                <c:pt idx="0">
                  <c:v>Renewal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Results!$AB$54:$AF$54</c:f>
              <c:numCache>
                <c:formatCode>0</c:formatCode>
                <c:ptCount val="5"/>
                <c:pt idx="1">
                  <c:v>2176.3751369652964</c:v>
                </c:pt>
                <c:pt idx="2">
                  <c:v>4673.4790820792277</c:v>
                </c:pt>
                <c:pt idx="3">
                  <c:v>6212.2075737399955</c:v>
                </c:pt>
                <c:pt idx="4">
                  <c:v>7750.9360654007669</c:v>
                </c:pt>
              </c:numCache>
            </c:numRef>
          </c:val>
        </c:ser>
        <c:ser>
          <c:idx val="6"/>
          <c:order val="5"/>
          <c:tx>
            <c:strRef>
              <c:f>Results!$AA$55</c:f>
              <c:strCache>
                <c:ptCount val="1"/>
                <c:pt idx="0">
                  <c:v>New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Results!$AB$55:$AF$55</c:f>
              <c:numCache>
                <c:formatCode>0</c:formatCode>
                <c:ptCount val="5"/>
                <c:pt idx="1">
                  <c:v>7914.16863119972</c:v>
                </c:pt>
                <c:pt idx="2">
                  <c:v>7184.0952553108455</c:v>
                </c:pt>
                <c:pt idx="3">
                  <c:v>4397.2251644941898</c:v>
                </c:pt>
                <c:pt idx="4">
                  <c:v>2795.8408369225381</c:v>
                </c:pt>
              </c:numCache>
            </c:numRef>
          </c:val>
        </c:ser>
        <c:ser>
          <c:idx val="0"/>
          <c:order val="6"/>
          <c:tx>
            <c:strRef>
              <c:f>Results!$AA$56</c:f>
              <c:strCache>
                <c:ptCount val="1"/>
                <c:pt idx="0">
                  <c:v>Renewal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Results!$AB$56:$AF$56</c:f>
              <c:numCache>
                <c:formatCode>0</c:formatCode>
                <c:ptCount val="5"/>
                <c:pt idx="1">
                  <c:v>74.089652007564382</c:v>
                </c:pt>
                <c:pt idx="2">
                  <c:v>488.33263189630043</c:v>
                </c:pt>
                <c:pt idx="3">
                  <c:v>531.57806341683636</c:v>
                </c:pt>
                <c:pt idx="4">
                  <c:v>574.82349493737229</c:v>
                </c:pt>
              </c:numCache>
            </c:numRef>
          </c:val>
        </c:ser>
        <c:ser>
          <c:idx val="7"/>
          <c:order val="7"/>
          <c:tx>
            <c:strRef>
              <c:f>Results!$AA$57</c:f>
              <c:strCache>
                <c:ptCount val="1"/>
                <c:pt idx="0">
                  <c:v>New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Results!$AB$57:$AF$57</c:f>
              <c:numCache>
                <c:formatCode>0</c:formatCode>
                <c:ptCount val="5"/>
                <c:pt idx="1">
                  <c:v>4716.1722778939438</c:v>
                </c:pt>
                <c:pt idx="2">
                  <c:v>7376.674885847955</c:v>
                </c:pt>
                <c:pt idx="3">
                  <c:v>8079.7208066951389</c:v>
                </c:pt>
                <c:pt idx="4">
                  <c:v>8782.766727542321</c:v>
                </c:pt>
              </c:numCache>
            </c:numRef>
          </c:val>
        </c:ser>
        <c:ser>
          <c:idx val="8"/>
          <c:order val="8"/>
          <c:tx>
            <c:strRef>
              <c:f>Results!$AA$58</c:f>
              <c:strCache>
                <c:ptCount val="1"/>
                <c:pt idx="0">
                  <c:v>Other</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Results!$AB$58:$AF$58</c:f>
              <c:numCache>
                <c:formatCode>0</c:formatCode>
                <c:ptCount val="5"/>
                <c:pt idx="0">
                  <c:v>0</c:v>
                </c:pt>
                <c:pt idx="1">
                  <c:v>1158.2143610589721</c:v>
                </c:pt>
                <c:pt idx="2">
                  <c:v>1158.2143610589721</c:v>
                </c:pt>
                <c:pt idx="3">
                  <c:v>1158.2143610589721</c:v>
                </c:pt>
                <c:pt idx="4">
                  <c:v>1158.2143610589721</c:v>
                </c:pt>
              </c:numCache>
            </c:numRef>
          </c:val>
        </c:ser>
        <c:dLbls>
          <c:showLegendKey val="0"/>
          <c:showVal val="0"/>
          <c:showCatName val="0"/>
          <c:showSerName val="0"/>
          <c:showPercent val="0"/>
          <c:showBubbleSize val="0"/>
        </c:dLbls>
        <c:gapWidth val="150"/>
        <c:overlap val="100"/>
        <c:axId val="117370208"/>
        <c:axId val="117378048"/>
      </c:barChart>
      <c:catAx>
        <c:axId val="117370208"/>
        <c:scaling>
          <c:orientation val="minMax"/>
        </c:scaling>
        <c:delete val="0"/>
        <c:axPos val="b"/>
        <c:numFmt formatCode="General" sourceLinked="1"/>
        <c:majorTickMark val="out"/>
        <c:minorTickMark val="none"/>
        <c:tickLblPos val="nextTo"/>
        <c:crossAx val="117378048"/>
        <c:crosses val="autoZero"/>
        <c:auto val="1"/>
        <c:lblAlgn val="ctr"/>
        <c:lblOffset val="100"/>
        <c:noMultiLvlLbl val="0"/>
      </c:catAx>
      <c:valAx>
        <c:axId val="117378048"/>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11737020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'Scenarios technology'!$BY$89</c:f>
              <c:strCache>
                <c:ptCount val="1"/>
                <c:pt idx="0">
                  <c:v>Cars and vans &lt; 2 t</c:v>
                </c:pt>
              </c:strCache>
            </c:strRef>
          </c:tx>
          <c:spPr>
            <a:solidFill>
              <a:schemeClr val="tx1">
                <a:lumMod val="65000"/>
                <a:lumOff val="35000"/>
              </a:schemeClr>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technology'!$BZ$89:$CD$89</c:f>
              <c:numCache>
                <c:formatCode>#,##0.00</c:formatCode>
                <c:ptCount val="5"/>
                <c:pt idx="0">
                  <c:v>1.7695134149951965</c:v>
                </c:pt>
                <c:pt idx="1">
                  <c:v>1.5088375458419234</c:v>
                </c:pt>
                <c:pt idx="2">
                  <c:v>1.2885312769811545</c:v>
                </c:pt>
                <c:pt idx="3">
                  <c:v>1.2329222519125231</c:v>
                </c:pt>
                <c:pt idx="4">
                  <c:v>1.1773132268438915</c:v>
                </c:pt>
              </c:numCache>
            </c:numRef>
          </c:val>
        </c:ser>
        <c:ser>
          <c:idx val="2"/>
          <c:order val="1"/>
          <c:tx>
            <c:strRef>
              <c:f>'Scenarios technology'!$BY$91</c:f>
              <c:strCache>
                <c:ptCount val="1"/>
                <c:pt idx="0">
                  <c:v>Bus</c:v>
                </c:pt>
              </c:strCache>
            </c:strRef>
          </c:tx>
          <c:spPr>
            <a:solidFill>
              <a:srgbClr val="009999"/>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technology'!$BZ$91:$CD$91</c:f>
              <c:numCache>
                <c:formatCode>#,##0.00</c:formatCode>
                <c:ptCount val="5"/>
                <c:pt idx="0">
                  <c:v>0.98409718798460322</c:v>
                </c:pt>
                <c:pt idx="1">
                  <c:v>0.91365172398894634</c:v>
                </c:pt>
                <c:pt idx="2">
                  <c:v>0.82629024197649437</c:v>
                </c:pt>
                <c:pt idx="3">
                  <c:v>0.79446495633530634</c:v>
                </c:pt>
                <c:pt idx="4">
                  <c:v>0.76263967069411842</c:v>
                </c:pt>
              </c:numCache>
            </c:numRef>
          </c:val>
        </c:ser>
        <c:ser>
          <c:idx val="1"/>
          <c:order val="2"/>
          <c:tx>
            <c:strRef>
              <c:f>'Scenarios technology'!$BY$90</c:f>
              <c:strCache>
                <c:ptCount val="1"/>
                <c:pt idx="0">
                  <c:v>Rail</c:v>
                </c:pt>
              </c:strCache>
            </c:strRef>
          </c:tx>
          <c:spPr>
            <a:solidFill>
              <a:schemeClr val="accent6"/>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technology'!$BZ$90:$CD$90</c:f>
              <c:numCache>
                <c:formatCode>#,##0.00</c:formatCode>
                <c:ptCount val="5"/>
                <c:pt idx="0">
                  <c:v>0.54475768148089454</c:v>
                </c:pt>
                <c:pt idx="1">
                  <c:v>0.3550572512851885</c:v>
                </c:pt>
                <c:pt idx="2">
                  <c:v>0.33649857193900273</c:v>
                </c:pt>
                <c:pt idx="3">
                  <c:v>0.33645833355380694</c:v>
                </c:pt>
                <c:pt idx="4">
                  <c:v>0.33641809516861115</c:v>
                </c:pt>
              </c:numCache>
            </c:numRef>
          </c:val>
        </c:ser>
        <c:ser>
          <c:idx val="4"/>
          <c:order val="3"/>
          <c:tx>
            <c:strRef>
              <c:f>'Scenarios technology'!$BY$93</c:f>
              <c:strCache>
                <c:ptCount val="1"/>
                <c:pt idx="0">
                  <c:v>Air</c:v>
                </c:pt>
              </c:strCache>
            </c:strRef>
          </c:tx>
          <c:spPr>
            <a:solidFill>
              <a:schemeClr val="tx2">
                <a:lumMod val="75000"/>
              </a:schemeClr>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technology'!$BZ$93:$CD$93</c:f>
              <c:numCache>
                <c:formatCode>#,##0.00</c:formatCode>
                <c:ptCount val="5"/>
                <c:pt idx="0">
                  <c:v>1.584435115014464</c:v>
                </c:pt>
                <c:pt idx="1">
                  <c:v>1.4474747739230494</c:v>
                </c:pt>
                <c:pt idx="2">
                  <c:v>1.1826922764282228</c:v>
                </c:pt>
                <c:pt idx="3">
                  <c:v>0.98613353415244187</c:v>
                </c:pt>
                <c:pt idx="4">
                  <c:v>0.78957479187666091</c:v>
                </c:pt>
              </c:numCache>
            </c:numRef>
          </c:val>
        </c:ser>
        <c:ser>
          <c:idx val="5"/>
          <c:order val="4"/>
          <c:tx>
            <c:strRef>
              <c:f>'Scenarios technology'!$BY$94</c:f>
              <c:strCache>
                <c:ptCount val="1"/>
                <c:pt idx="0">
                  <c:v>Sea</c:v>
                </c:pt>
              </c:strCache>
            </c:strRef>
          </c:tx>
          <c:spPr>
            <a:solidFill>
              <a:schemeClr val="accent5"/>
            </a:solidFill>
          </c:spPr>
          <c:invertIfNegative val="0"/>
          <c:cat>
            <c:numRef>
              <c:f>'Scenarios technology'!$BZ$88:$CD$88</c:f>
              <c:numCache>
                <c:formatCode>General</c:formatCode>
                <c:ptCount val="5"/>
                <c:pt idx="0">
                  <c:v>2010</c:v>
                </c:pt>
                <c:pt idx="1">
                  <c:v>2020</c:v>
                </c:pt>
                <c:pt idx="2">
                  <c:v>2030</c:v>
                </c:pt>
                <c:pt idx="3">
                  <c:v>2040</c:v>
                </c:pt>
                <c:pt idx="4">
                  <c:v>2050</c:v>
                </c:pt>
              </c:numCache>
            </c:numRef>
          </c:cat>
          <c:val>
            <c:numRef>
              <c:f>'Scenarios technology'!$BZ$94:$CD$94</c:f>
              <c:numCache>
                <c:formatCode>#,##0.00</c:formatCode>
                <c:ptCount val="5"/>
                <c:pt idx="0">
                  <c:v>2.9376057208014088</c:v>
                </c:pt>
                <c:pt idx="1">
                  <c:v>2.7273207324159974</c:v>
                </c:pt>
                <c:pt idx="2">
                  <c:v>2.4665399831969115</c:v>
                </c:pt>
                <c:pt idx="3">
                  <c:v>2.3715390555290692</c:v>
                </c:pt>
                <c:pt idx="4">
                  <c:v>2.2765381278612269</c:v>
                </c:pt>
              </c:numCache>
            </c:numRef>
          </c:val>
        </c:ser>
        <c:dLbls>
          <c:showLegendKey val="0"/>
          <c:showVal val="0"/>
          <c:showCatName val="0"/>
          <c:showSerName val="0"/>
          <c:showPercent val="0"/>
          <c:showBubbleSize val="0"/>
        </c:dLbls>
        <c:gapWidth val="150"/>
        <c:axId val="117371384"/>
        <c:axId val="117366680"/>
      </c:barChart>
      <c:catAx>
        <c:axId val="117371384"/>
        <c:scaling>
          <c:orientation val="minMax"/>
        </c:scaling>
        <c:delete val="0"/>
        <c:axPos val="b"/>
        <c:numFmt formatCode="General" sourceLinked="1"/>
        <c:majorTickMark val="out"/>
        <c:minorTickMark val="none"/>
        <c:tickLblPos val="nextTo"/>
        <c:crossAx val="117366680"/>
        <c:crosses val="autoZero"/>
        <c:auto val="1"/>
        <c:lblAlgn val="ctr"/>
        <c:lblOffset val="100"/>
        <c:noMultiLvlLbl val="0"/>
      </c:catAx>
      <c:valAx>
        <c:axId val="117366680"/>
        <c:scaling>
          <c:orientation val="minMax"/>
        </c:scaling>
        <c:delete val="0"/>
        <c:axPos val="l"/>
        <c:majorGridlines>
          <c:spPr>
            <a:ln>
              <a:prstDash val="sysDot"/>
            </a:ln>
          </c:spPr>
        </c:majorGridlines>
        <c:title>
          <c:tx>
            <c:strRef>
              <c:f>'Scenarios technology'!$BY$87:$CD$87</c:f>
              <c:strCache>
                <c:ptCount val="6"/>
                <c:pt idx="0">
                  <c:v>Specific Energy Consumption for Passenger Transport (MJ/pkm)</c:v>
                </c:pt>
              </c:strCache>
            </c:strRef>
          </c:tx>
          <c:overlay val="0"/>
          <c:txPr>
            <a:bodyPr rot="-5400000" vert="horz"/>
            <a:lstStyle/>
            <a:p>
              <a:pPr>
                <a:defRPr/>
              </a:pPr>
              <a:endParaRPr lang="en-US"/>
            </a:p>
          </c:txPr>
        </c:title>
        <c:numFmt formatCode="#,##0.0" sourceLinked="0"/>
        <c:majorTickMark val="out"/>
        <c:minorTickMark val="none"/>
        <c:tickLblPos val="nextTo"/>
        <c:crossAx val="117371384"/>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'Scenarios technology'!$BY$100</c:f>
              <c:strCache>
                <c:ptCount val="1"/>
                <c:pt idx="0">
                  <c:v>Vans (2-6 t)</c:v>
                </c:pt>
              </c:strCache>
            </c:strRef>
          </c:tx>
          <c:spPr>
            <a:solidFill>
              <a:schemeClr val="tx1">
                <a:lumMod val="95000"/>
                <a:lumOff val="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technology'!$BZ$100:$CD$100</c:f>
              <c:numCache>
                <c:formatCode>#,##0.0</c:formatCode>
                <c:ptCount val="5"/>
                <c:pt idx="0">
                  <c:v>2.3961024595554452</c:v>
                </c:pt>
                <c:pt idx="1">
                  <c:v>2.0868960599723509</c:v>
                </c:pt>
                <c:pt idx="2">
                  <c:v>1.7769751261763247</c:v>
                </c:pt>
                <c:pt idx="3">
                  <c:v>1.6628215824556882</c:v>
                </c:pt>
                <c:pt idx="4">
                  <c:v>1.5486680387350515</c:v>
                </c:pt>
              </c:numCache>
            </c:numRef>
          </c:val>
        </c:ser>
        <c:ser>
          <c:idx val="1"/>
          <c:order val="1"/>
          <c:tx>
            <c:strRef>
              <c:f>'Scenarios technology'!$BY$101</c:f>
              <c:strCache>
                <c:ptCount val="1"/>
                <c:pt idx="0">
                  <c:v>National truck</c:v>
                </c:pt>
              </c:strCache>
            </c:strRef>
          </c:tx>
          <c:spPr>
            <a:solidFill>
              <a:schemeClr val="tx1">
                <a:lumMod val="50000"/>
                <a:lumOff val="5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technology'!$BZ$101:$CD$101</c:f>
              <c:numCache>
                <c:formatCode>#,##0.0</c:formatCode>
                <c:ptCount val="5"/>
                <c:pt idx="0">
                  <c:v>1.6780196872349427</c:v>
                </c:pt>
                <c:pt idx="1">
                  <c:v>1.458742324019674</c:v>
                </c:pt>
                <c:pt idx="2">
                  <c:v>1.2286467178448546</c:v>
                </c:pt>
                <c:pt idx="3">
                  <c:v>1.1416889259130238</c:v>
                </c:pt>
                <c:pt idx="4">
                  <c:v>1.0547311339811933</c:v>
                </c:pt>
              </c:numCache>
            </c:numRef>
          </c:val>
        </c:ser>
        <c:ser>
          <c:idx val="2"/>
          <c:order val="2"/>
          <c:tx>
            <c:strRef>
              <c:f>'Scenarios technology'!$BY$102</c:f>
              <c:strCache>
                <c:ptCount val="1"/>
                <c:pt idx="0">
                  <c:v>International truck</c:v>
                </c:pt>
              </c:strCache>
            </c:strRef>
          </c:tx>
          <c:spPr>
            <a:solidFill>
              <a:schemeClr val="bg1">
                <a:lumMod val="7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technology'!$BZ$102:$CD$102</c:f>
              <c:numCache>
                <c:formatCode>#,##0.0</c:formatCode>
                <c:ptCount val="5"/>
                <c:pt idx="0">
                  <c:v>10</c:v>
                </c:pt>
                <c:pt idx="1">
                  <c:v>8.641045384735067</c:v>
                </c:pt>
                <c:pt idx="2">
                  <c:v>7.4667665341051181</c:v>
                </c:pt>
                <c:pt idx="3">
                  <c:v>7.1791775421359763</c:v>
                </c:pt>
                <c:pt idx="4">
                  <c:v>6.8915885501668352</c:v>
                </c:pt>
              </c:numCache>
            </c:numRef>
          </c:val>
        </c:ser>
        <c:ser>
          <c:idx val="5"/>
          <c:order val="3"/>
          <c:tx>
            <c:strRef>
              <c:f>'Scenarios technology'!$BY$105</c:f>
              <c:strCache>
                <c:ptCount val="1"/>
                <c:pt idx="0">
                  <c:v>National air</c:v>
                </c:pt>
              </c:strCache>
            </c:strRef>
          </c:tx>
          <c:spPr>
            <a:solidFill>
              <a:schemeClr val="accent5">
                <a:lumMod val="7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technology'!$BZ$105:$CD$105</c:f>
              <c:numCache>
                <c:formatCode>#,##0.0</c:formatCode>
                <c:ptCount val="5"/>
                <c:pt idx="0">
                  <c:v>10.8</c:v>
                </c:pt>
                <c:pt idx="1">
                  <c:v>9.8664359368393715</c:v>
                </c:pt>
                <c:pt idx="2">
                  <c:v>8.061596504889506</c:v>
                </c:pt>
                <c:pt idx="3">
                  <c:v>6.7217912983133719</c:v>
                </c:pt>
                <c:pt idx="4">
                  <c:v>5.3819860917372386</c:v>
                </c:pt>
              </c:numCache>
            </c:numRef>
          </c:val>
        </c:ser>
        <c:ser>
          <c:idx val="6"/>
          <c:order val="4"/>
          <c:tx>
            <c:strRef>
              <c:f>'Scenarios technology'!$BY$106</c:f>
              <c:strCache>
                <c:ptCount val="1"/>
                <c:pt idx="0">
                  <c:v>International air</c:v>
                </c:pt>
              </c:strCache>
            </c:strRef>
          </c:tx>
          <c:spPr>
            <a:solidFill>
              <a:srgbClr val="33CCFF"/>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technology'!$BZ$106:$CD$106</c:f>
              <c:numCache>
                <c:formatCode>#,##0.0</c:formatCode>
                <c:ptCount val="5"/>
                <c:pt idx="0">
                  <c:v>10.8</c:v>
                </c:pt>
                <c:pt idx="1">
                  <c:v>9.8664359368393715</c:v>
                </c:pt>
                <c:pt idx="2">
                  <c:v>8.061596504889506</c:v>
                </c:pt>
                <c:pt idx="3">
                  <c:v>6.7217912983133719</c:v>
                </c:pt>
                <c:pt idx="4">
                  <c:v>5.3819860917372386</c:v>
                </c:pt>
              </c:numCache>
            </c:numRef>
          </c:val>
        </c:ser>
        <c:dLbls>
          <c:showLegendKey val="0"/>
          <c:showVal val="0"/>
          <c:showCatName val="0"/>
          <c:showSerName val="0"/>
          <c:showPercent val="0"/>
          <c:showBubbleSize val="0"/>
        </c:dLbls>
        <c:gapWidth val="150"/>
        <c:axId val="117369032"/>
        <c:axId val="117369816"/>
      </c:barChart>
      <c:catAx>
        <c:axId val="117369032"/>
        <c:scaling>
          <c:orientation val="minMax"/>
        </c:scaling>
        <c:delete val="0"/>
        <c:axPos val="b"/>
        <c:numFmt formatCode="General" sourceLinked="1"/>
        <c:majorTickMark val="out"/>
        <c:minorTickMark val="none"/>
        <c:tickLblPos val="nextTo"/>
        <c:crossAx val="117369816"/>
        <c:crosses val="autoZero"/>
        <c:auto val="1"/>
        <c:lblAlgn val="ctr"/>
        <c:lblOffset val="100"/>
        <c:noMultiLvlLbl val="0"/>
      </c:catAx>
      <c:valAx>
        <c:axId val="117369816"/>
        <c:scaling>
          <c:orientation val="minMax"/>
        </c:scaling>
        <c:delete val="0"/>
        <c:axPos val="l"/>
        <c:majorGridlines>
          <c:spPr>
            <a:ln>
              <a:prstDash val="sysDot"/>
            </a:ln>
          </c:spPr>
        </c:majorGridlines>
        <c:title>
          <c:tx>
            <c:strRef>
              <c:f>'Scenarios technology'!$BY$98:$CD$98</c:f>
              <c:strCache>
                <c:ptCount val="6"/>
                <c:pt idx="0">
                  <c:v>Specific Energy Consumption for Freight Transport (MJ/tkm)</c:v>
                </c:pt>
              </c:strCache>
            </c:strRef>
          </c:tx>
          <c:overlay val="0"/>
          <c:txPr>
            <a:bodyPr rot="-5400000" vert="horz"/>
            <a:lstStyle/>
            <a:p>
              <a:pPr>
                <a:defRPr/>
              </a:pPr>
              <a:endParaRPr lang="en-US"/>
            </a:p>
          </c:txPr>
        </c:title>
        <c:numFmt formatCode="#,##0" sourceLinked="0"/>
        <c:majorTickMark val="out"/>
        <c:minorTickMark val="none"/>
        <c:tickLblPos val="nextTo"/>
        <c:crossAx val="117369032"/>
        <c:crosses val="autoZero"/>
        <c:crossBetween val="between"/>
      </c:valAx>
    </c:plotArea>
    <c:legend>
      <c:legendPos val="r"/>
      <c:overlay val="0"/>
    </c:legend>
    <c:plotVisOnly val="1"/>
    <c:dispBlanksAs val="gap"/>
    <c:showDLblsOverMax val="0"/>
  </c:chart>
  <c:spPr>
    <a:ln>
      <a:noFill/>
    </a:ln>
  </c:spPr>
  <c:txPr>
    <a:bodyPr/>
    <a:lstStyle/>
    <a:p>
      <a:pPr>
        <a:defRPr b="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3"/>
          <c:order val="0"/>
          <c:tx>
            <c:strRef>
              <c:f>'Scenarios technology'!$BY$103</c:f>
              <c:strCache>
                <c:ptCount val="1"/>
                <c:pt idx="0">
                  <c:v>National rail </c:v>
                </c:pt>
              </c:strCache>
            </c:strRef>
          </c:tx>
          <c:spPr>
            <a:solidFill>
              <a:schemeClr val="accent6"/>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technology'!$BZ$103:$CD$103</c:f>
              <c:numCache>
                <c:formatCode>#,##0.0</c:formatCode>
                <c:ptCount val="5"/>
                <c:pt idx="0">
                  <c:v>0.40271895495495497</c:v>
                </c:pt>
                <c:pt idx="1">
                  <c:v>0.35147747747747754</c:v>
                </c:pt>
                <c:pt idx="2">
                  <c:v>0.33009009009009005</c:v>
                </c:pt>
                <c:pt idx="3">
                  <c:v>0.33004504504504506</c:v>
                </c:pt>
                <c:pt idx="4">
                  <c:v>0.33</c:v>
                </c:pt>
              </c:numCache>
            </c:numRef>
          </c:val>
        </c:ser>
        <c:ser>
          <c:idx val="4"/>
          <c:order val="1"/>
          <c:tx>
            <c:strRef>
              <c:f>'Scenarios technology'!$BY$104</c:f>
              <c:strCache>
                <c:ptCount val="1"/>
                <c:pt idx="0">
                  <c:v>International rail</c:v>
                </c:pt>
              </c:strCache>
            </c:strRef>
          </c:tx>
          <c:spPr>
            <a:solidFill>
              <a:schemeClr val="accent6">
                <a:lumMod val="20000"/>
                <a:lumOff val="8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technology'!$BZ$104:$CD$104</c:f>
              <c:numCache>
                <c:formatCode>#,##0.0</c:formatCode>
                <c:ptCount val="5"/>
                <c:pt idx="0">
                  <c:v>0.27999999999999997</c:v>
                </c:pt>
                <c:pt idx="1">
                  <c:v>0.27999999999999997</c:v>
                </c:pt>
                <c:pt idx="2">
                  <c:v>0.27999999999999997</c:v>
                </c:pt>
                <c:pt idx="3">
                  <c:v>0.27999999999999997</c:v>
                </c:pt>
                <c:pt idx="4">
                  <c:v>0.27999999999999997</c:v>
                </c:pt>
              </c:numCache>
            </c:numRef>
          </c:val>
        </c:ser>
        <c:ser>
          <c:idx val="7"/>
          <c:order val="2"/>
          <c:tx>
            <c:strRef>
              <c:f>'Scenarios technology'!$BY$107</c:f>
              <c:strCache>
                <c:ptCount val="1"/>
                <c:pt idx="0">
                  <c:v>National sea</c:v>
                </c:pt>
              </c:strCache>
            </c:strRef>
          </c:tx>
          <c:spPr>
            <a:solidFill>
              <a:srgbClr val="009999"/>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technology'!$BZ$107:$CD$107</c:f>
              <c:numCache>
                <c:formatCode>#,##0.00</c:formatCode>
                <c:ptCount val="5"/>
                <c:pt idx="0">
                  <c:v>0.22666666666666666</c:v>
                </c:pt>
                <c:pt idx="1">
                  <c:v>0.21044100471692193</c:v>
                </c:pt>
                <c:pt idx="2">
                  <c:v>0.1903190725128274</c:v>
                </c:pt>
                <c:pt idx="3">
                  <c:v>0.18298876829527017</c:v>
                </c:pt>
                <c:pt idx="4">
                  <c:v>0.17565846407771291</c:v>
                </c:pt>
              </c:numCache>
            </c:numRef>
          </c:val>
        </c:ser>
        <c:ser>
          <c:idx val="8"/>
          <c:order val="3"/>
          <c:tx>
            <c:strRef>
              <c:f>'Scenarios technology'!$BY$108</c:f>
              <c:strCache>
                <c:ptCount val="1"/>
                <c:pt idx="0">
                  <c:v>International sea</c:v>
                </c:pt>
              </c:strCache>
            </c:strRef>
          </c:tx>
          <c:spPr>
            <a:solidFill>
              <a:schemeClr val="accent5">
                <a:lumMod val="40000"/>
                <a:lumOff val="6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technology'!$BZ$108:$CD$108</c:f>
              <c:numCache>
                <c:formatCode>#,##0.00</c:formatCode>
                <c:ptCount val="5"/>
                <c:pt idx="0">
                  <c:v>5.4285714285714284E-2</c:v>
                </c:pt>
                <c:pt idx="1">
                  <c:v>5.0399736423800627E-2</c:v>
                </c:pt>
                <c:pt idx="2">
                  <c:v>4.5580618206853621E-2</c:v>
                </c:pt>
                <c:pt idx="3">
                  <c:v>4.3825041146346215E-2</c:v>
                </c:pt>
                <c:pt idx="4">
                  <c:v>4.2069464085838809E-2</c:v>
                </c:pt>
              </c:numCache>
            </c:numRef>
          </c:val>
        </c:ser>
        <c:dLbls>
          <c:showLegendKey val="0"/>
          <c:showVal val="0"/>
          <c:showCatName val="0"/>
          <c:showSerName val="0"/>
          <c:showPercent val="0"/>
          <c:showBubbleSize val="0"/>
        </c:dLbls>
        <c:gapWidth val="150"/>
        <c:axId val="117370992"/>
        <c:axId val="117371776"/>
      </c:barChart>
      <c:catAx>
        <c:axId val="117370992"/>
        <c:scaling>
          <c:orientation val="minMax"/>
        </c:scaling>
        <c:delete val="0"/>
        <c:axPos val="b"/>
        <c:numFmt formatCode="General" sourceLinked="1"/>
        <c:majorTickMark val="out"/>
        <c:minorTickMark val="none"/>
        <c:tickLblPos val="nextTo"/>
        <c:crossAx val="117371776"/>
        <c:crosses val="autoZero"/>
        <c:auto val="1"/>
        <c:lblAlgn val="ctr"/>
        <c:lblOffset val="100"/>
        <c:noMultiLvlLbl val="0"/>
      </c:catAx>
      <c:valAx>
        <c:axId val="117371776"/>
        <c:scaling>
          <c:orientation val="minMax"/>
        </c:scaling>
        <c:delete val="0"/>
        <c:axPos val="l"/>
        <c:majorGridlines>
          <c:spPr>
            <a:ln>
              <a:prstDash val="sysDot"/>
            </a:ln>
          </c:spPr>
        </c:majorGridlines>
        <c:title>
          <c:tx>
            <c:strRef>
              <c:f>'Scenarios technology'!$BY$98:$CD$98</c:f>
              <c:strCache>
                <c:ptCount val="6"/>
                <c:pt idx="0">
                  <c:v>Specific Energy Consumption for Freight Transport (MJ/tkm)</c:v>
                </c:pt>
              </c:strCache>
            </c:strRef>
          </c:tx>
          <c:overlay val="0"/>
          <c:txPr>
            <a:bodyPr rot="-5400000" vert="horz"/>
            <a:lstStyle/>
            <a:p>
              <a:pPr>
                <a:defRPr/>
              </a:pPr>
              <a:endParaRPr lang="en-US"/>
            </a:p>
          </c:txPr>
        </c:title>
        <c:numFmt formatCode="#,##0.00" sourceLinked="0"/>
        <c:majorTickMark val="out"/>
        <c:minorTickMark val="none"/>
        <c:tickLblPos val="nextTo"/>
        <c:crossAx val="117370992"/>
        <c:crosses val="autoZero"/>
        <c:crossBetween val="between"/>
      </c:valAx>
    </c:plotArea>
    <c:legend>
      <c:legendPos val="r"/>
      <c:overlay val="0"/>
    </c:legend>
    <c:plotVisOnly val="1"/>
    <c:dispBlanksAs val="gap"/>
    <c:showDLblsOverMax val="0"/>
  </c:chart>
  <c:spPr>
    <a:ln>
      <a:noFill/>
    </a:ln>
  </c:spPr>
  <c:txPr>
    <a:bodyPr/>
    <a:lstStyle/>
    <a:p>
      <a:pPr>
        <a:defRPr b="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'Scenarios technology'!$BY$100</c:f>
              <c:strCache>
                <c:ptCount val="1"/>
                <c:pt idx="0">
                  <c:v>Vans (2-6 t)</c:v>
                </c:pt>
              </c:strCache>
            </c:strRef>
          </c:tx>
          <c:spPr>
            <a:solidFill>
              <a:schemeClr val="tx1">
                <a:lumMod val="95000"/>
                <a:lumOff val="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technology'!$BZ$100:$CD$100</c:f>
              <c:numCache>
                <c:formatCode>#,##0.0</c:formatCode>
                <c:ptCount val="5"/>
                <c:pt idx="0">
                  <c:v>2.3961024595554452</c:v>
                </c:pt>
                <c:pt idx="1">
                  <c:v>2.0868960599723509</c:v>
                </c:pt>
                <c:pt idx="2">
                  <c:v>1.7769751261763247</c:v>
                </c:pt>
                <c:pt idx="3">
                  <c:v>1.6628215824556882</c:v>
                </c:pt>
                <c:pt idx="4">
                  <c:v>1.5486680387350515</c:v>
                </c:pt>
              </c:numCache>
            </c:numRef>
          </c:val>
        </c:ser>
        <c:ser>
          <c:idx val="1"/>
          <c:order val="1"/>
          <c:tx>
            <c:strRef>
              <c:f>'Scenarios technology'!$BY$101</c:f>
              <c:strCache>
                <c:ptCount val="1"/>
                <c:pt idx="0">
                  <c:v>National truck</c:v>
                </c:pt>
              </c:strCache>
            </c:strRef>
          </c:tx>
          <c:spPr>
            <a:solidFill>
              <a:schemeClr val="bg1">
                <a:lumMod val="5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technology'!$BZ$101:$CD$101</c:f>
              <c:numCache>
                <c:formatCode>#,##0.0</c:formatCode>
                <c:ptCount val="5"/>
                <c:pt idx="0">
                  <c:v>1.6780196872349427</c:v>
                </c:pt>
                <c:pt idx="1">
                  <c:v>1.458742324019674</c:v>
                </c:pt>
                <c:pt idx="2">
                  <c:v>1.2286467178448546</c:v>
                </c:pt>
                <c:pt idx="3">
                  <c:v>1.1416889259130238</c:v>
                </c:pt>
                <c:pt idx="4">
                  <c:v>1.0547311339811933</c:v>
                </c:pt>
              </c:numCache>
            </c:numRef>
          </c:val>
        </c:ser>
        <c:ser>
          <c:idx val="2"/>
          <c:order val="2"/>
          <c:tx>
            <c:strRef>
              <c:f>'Scenarios technology'!$BY$102</c:f>
              <c:strCache>
                <c:ptCount val="1"/>
                <c:pt idx="0">
                  <c:v>International truck</c:v>
                </c:pt>
              </c:strCache>
            </c:strRef>
          </c:tx>
          <c:spPr>
            <a:solidFill>
              <a:schemeClr val="bg1">
                <a:lumMod val="7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technology'!$BZ$102:$CD$102</c:f>
              <c:numCache>
                <c:formatCode>#,##0.0</c:formatCode>
                <c:ptCount val="5"/>
                <c:pt idx="0">
                  <c:v>10</c:v>
                </c:pt>
                <c:pt idx="1">
                  <c:v>8.641045384735067</c:v>
                </c:pt>
                <c:pt idx="2">
                  <c:v>7.4667665341051181</c:v>
                </c:pt>
                <c:pt idx="3">
                  <c:v>7.1791775421359763</c:v>
                </c:pt>
                <c:pt idx="4">
                  <c:v>6.8915885501668352</c:v>
                </c:pt>
              </c:numCache>
            </c:numRef>
          </c:val>
        </c:ser>
        <c:ser>
          <c:idx val="3"/>
          <c:order val="3"/>
          <c:tx>
            <c:strRef>
              <c:f>'Scenarios technology'!$BY$103</c:f>
              <c:strCache>
                <c:ptCount val="1"/>
                <c:pt idx="0">
                  <c:v>National rail </c:v>
                </c:pt>
              </c:strCache>
            </c:strRef>
          </c:tx>
          <c:spPr>
            <a:solidFill>
              <a:schemeClr val="accent6"/>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technology'!$BZ$103:$CD$103</c:f>
              <c:numCache>
                <c:formatCode>#,##0.0</c:formatCode>
                <c:ptCount val="5"/>
                <c:pt idx="0">
                  <c:v>0.40271895495495497</c:v>
                </c:pt>
                <c:pt idx="1">
                  <c:v>0.35147747747747754</c:v>
                </c:pt>
                <c:pt idx="2">
                  <c:v>0.33009009009009005</c:v>
                </c:pt>
                <c:pt idx="3">
                  <c:v>0.33004504504504506</c:v>
                </c:pt>
                <c:pt idx="4">
                  <c:v>0.33</c:v>
                </c:pt>
              </c:numCache>
            </c:numRef>
          </c:val>
        </c:ser>
        <c:ser>
          <c:idx val="4"/>
          <c:order val="4"/>
          <c:tx>
            <c:strRef>
              <c:f>'Scenarios technology'!$BY$104</c:f>
              <c:strCache>
                <c:ptCount val="1"/>
                <c:pt idx="0">
                  <c:v>International rail</c:v>
                </c:pt>
              </c:strCache>
            </c:strRef>
          </c:tx>
          <c:spPr>
            <a:solidFill>
              <a:schemeClr val="accent6">
                <a:lumMod val="20000"/>
                <a:lumOff val="80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technology'!$BZ$104:$CD$104</c:f>
              <c:numCache>
                <c:formatCode>#,##0.0</c:formatCode>
                <c:ptCount val="5"/>
                <c:pt idx="0">
                  <c:v>0.27999999999999997</c:v>
                </c:pt>
                <c:pt idx="1">
                  <c:v>0.27999999999999997</c:v>
                </c:pt>
                <c:pt idx="2">
                  <c:v>0.27999999999999997</c:v>
                </c:pt>
                <c:pt idx="3">
                  <c:v>0.27999999999999997</c:v>
                </c:pt>
                <c:pt idx="4">
                  <c:v>0.27999999999999997</c:v>
                </c:pt>
              </c:numCache>
            </c:numRef>
          </c:val>
        </c:ser>
        <c:ser>
          <c:idx val="5"/>
          <c:order val="5"/>
          <c:tx>
            <c:strRef>
              <c:f>'Scenarios technology'!$BY$105</c:f>
              <c:strCache>
                <c:ptCount val="1"/>
                <c:pt idx="0">
                  <c:v>National air</c:v>
                </c:pt>
              </c:strCache>
            </c:strRef>
          </c:tx>
          <c:spPr>
            <a:solidFill>
              <a:schemeClr val="accent5">
                <a:lumMod val="75000"/>
              </a:schemeClr>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technology'!$BZ$105:$CD$105</c:f>
              <c:numCache>
                <c:formatCode>#,##0.0</c:formatCode>
                <c:ptCount val="5"/>
                <c:pt idx="0">
                  <c:v>10.8</c:v>
                </c:pt>
                <c:pt idx="1">
                  <c:v>9.8664359368393715</c:v>
                </c:pt>
                <c:pt idx="2">
                  <c:v>8.061596504889506</c:v>
                </c:pt>
                <c:pt idx="3">
                  <c:v>6.7217912983133719</c:v>
                </c:pt>
                <c:pt idx="4">
                  <c:v>5.3819860917372386</c:v>
                </c:pt>
              </c:numCache>
            </c:numRef>
          </c:val>
        </c:ser>
        <c:ser>
          <c:idx val="6"/>
          <c:order val="6"/>
          <c:tx>
            <c:strRef>
              <c:f>'Scenarios technology'!$BY$106</c:f>
              <c:strCache>
                <c:ptCount val="1"/>
                <c:pt idx="0">
                  <c:v>International air</c:v>
                </c:pt>
              </c:strCache>
            </c:strRef>
          </c:tx>
          <c:spPr>
            <a:solidFill>
              <a:srgbClr val="33CCFF"/>
            </a:solidFill>
          </c:spPr>
          <c:invertIfNegative val="0"/>
          <c:cat>
            <c:numRef>
              <c:f>'Scenarios technology'!$BZ$99:$CD$99</c:f>
              <c:numCache>
                <c:formatCode>General</c:formatCode>
                <c:ptCount val="5"/>
                <c:pt idx="0">
                  <c:v>2010</c:v>
                </c:pt>
                <c:pt idx="1">
                  <c:v>2020</c:v>
                </c:pt>
                <c:pt idx="2">
                  <c:v>2030</c:v>
                </c:pt>
                <c:pt idx="3">
                  <c:v>2040</c:v>
                </c:pt>
                <c:pt idx="4">
                  <c:v>2050</c:v>
                </c:pt>
              </c:numCache>
            </c:numRef>
          </c:cat>
          <c:val>
            <c:numRef>
              <c:f>'Scenarios technology'!$BZ$106:$CD$106</c:f>
              <c:numCache>
                <c:formatCode>#,##0.0</c:formatCode>
                <c:ptCount val="5"/>
                <c:pt idx="0">
                  <c:v>10.8</c:v>
                </c:pt>
                <c:pt idx="1">
                  <c:v>9.8664359368393715</c:v>
                </c:pt>
                <c:pt idx="2">
                  <c:v>8.061596504889506</c:v>
                </c:pt>
                <c:pt idx="3">
                  <c:v>6.7217912983133719</c:v>
                </c:pt>
                <c:pt idx="4">
                  <c:v>5.3819860917372386</c:v>
                </c:pt>
              </c:numCache>
            </c:numRef>
          </c:val>
        </c:ser>
        <c:dLbls>
          <c:showLegendKey val="0"/>
          <c:showVal val="0"/>
          <c:showCatName val="0"/>
          <c:showSerName val="0"/>
          <c:showPercent val="0"/>
          <c:showBubbleSize val="0"/>
        </c:dLbls>
        <c:gapWidth val="150"/>
        <c:axId val="117372560"/>
        <c:axId val="117374520"/>
      </c:barChart>
      <c:lineChart>
        <c:grouping val="standard"/>
        <c:varyColors val="0"/>
        <c:ser>
          <c:idx val="7"/>
          <c:order val="7"/>
          <c:tx>
            <c:strRef>
              <c:f>'Scenarios technology'!$BY$107</c:f>
              <c:strCache>
                <c:ptCount val="1"/>
                <c:pt idx="0">
                  <c:v>National sea</c:v>
                </c:pt>
              </c:strCache>
            </c:strRef>
          </c:tx>
          <c:spPr>
            <a:ln>
              <a:noFill/>
            </a:ln>
          </c:spPr>
          <c:marker>
            <c:symbol val="circle"/>
            <c:size val="7"/>
            <c:spPr>
              <a:solidFill>
                <a:srgbClr val="008080"/>
              </a:solidFill>
              <a:ln>
                <a:noFill/>
              </a:ln>
            </c:spPr>
          </c:marker>
          <c:val>
            <c:numRef>
              <c:f>'Scenarios technology'!$BZ$107:$CD$107</c:f>
              <c:numCache>
                <c:formatCode>#,##0.00</c:formatCode>
                <c:ptCount val="5"/>
                <c:pt idx="0">
                  <c:v>0.22666666666666666</c:v>
                </c:pt>
                <c:pt idx="1">
                  <c:v>0.21044100471692193</c:v>
                </c:pt>
                <c:pt idx="2">
                  <c:v>0.1903190725128274</c:v>
                </c:pt>
                <c:pt idx="3">
                  <c:v>0.18298876829527017</c:v>
                </c:pt>
                <c:pt idx="4">
                  <c:v>0.17565846407771291</c:v>
                </c:pt>
              </c:numCache>
            </c:numRef>
          </c:val>
          <c:smooth val="0"/>
        </c:ser>
        <c:ser>
          <c:idx val="8"/>
          <c:order val="8"/>
          <c:tx>
            <c:strRef>
              <c:f>'Scenarios technology'!$BY$108</c:f>
              <c:strCache>
                <c:ptCount val="1"/>
                <c:pt idx="0">
                  <c:v>International sea</c:v>
                </c:pt>
              </c:strCache>
            </c:strRef>
          </c:tx>
          <c:spPr>
            <a:ln>
              <a:noFill/>
            </a:ln>
          </c:spPr>
          <c:marker>
            <c:symbol val="circle"/>
            <c:size val="7"/>
            <c:spPr>
              <a:solidFill>
                <a:schemeClr val="accent5">
                  <a:lumMod val="40000"/>
                  <a:lumOff val="60000"/>
                </a:schemeClr>
              </a:solidFill>
              <a:ln>
                <a:noFill/>
              </a:ln>
            </c:spPr>
          </c:marker>
          <c:val>
            <c:numRef>
              <c:f>'Scenarios technology'!$BZ$108:$CD$108</c:f>
              <c:numCache>
                <c:formatCode>#,##0.00</c:formatCode>
                <c:ptCount val="5"/>
                <c:pt idx="0">
                  <c:v>5.4285714285714284E-2</c:v>
                </c:pt>
                <c:pt idx="1">
                  <c:v>5.0399736423800627E-2</c:v>
                </c:pt>
                <c:pt idx="2">
                  <c:v>4.5580618206853621E-2</c:v>
                </c:pt>
                <c:pt idx="3">
                  <c:v>4.3825041146346215E-2</c:v>
                </c:pt>
                <c:pt idx="4">
                  <c:v>4.2069464085838809E-2</c:v>
                </c:pt>
              </c:numCache>
            </c:numRef>
          </c:val>
          <c:smooth val="0"/>
        </c:ser>
        <c:dLbls>
          <c:showLegendKey val="0"/>
          <c:showVal val="0"/>
          <c:showCatName val="0"/>
          <c:showSerName val="0"/>
          <c:showPercent val="0"/>
          <c:showBubbleSize val="0"/>
        </c:dLbls>
        <c:marker val="1"/>
        <c:smooth val="0"/>
        <c:axId val="117376480"/>
        <c:axId val="117374912"/>
      </c:lineChart>
      <c:catAx>
        <c:axId val="117372560"/>
        <c:scaling>
          <c:orientation val="minMax"/>
        </c:scaling>
        <c:delete val="0"/>
        <c:axPos val="b"/>
        <c:numFmt formatCode="General" sourceLinked="1"/>
        <c:majorTickMark val="out"/>
        <c:minorTickMark val="none"/>
        <c:tickLblPos val="nextTo"/>
        <c:crossAx val="117374520"/>
        <c:crosses val="autoZero"/>
        <c:auto val="1"/>
        <c:lblAlgn val="ctr"/>
        <c:lblOffset val="100"/>
        <c:noMultiLvlLbl val="0"/>
      </c:catAx>
      <c:valAx>
        <c:axId val="117374520"/>
        <c:scaling>
          <c:orientation val="minMax"/>
        </c:scaling>
        <c:delete val="0"/>
        <c:axPos val="l"/>
        <c:majorGridlines>
          <c:spPr>
            <a:ln>
              <a:prstDash val="sysDot"/>
            </a:ln>
          </c:spPr>
        </c:majorGridlines>
        <c:title>
          <c:tx>
            <c:strRef>
              <c:f>'Scenarios technology'!$BY$98:$CD$98</c:f>
              <c:strCache>
                <c:ptCount val="6"/>
                <c:pt idx="0">
                  <c:v>Specific Energy Consumption for Freight Transport (MJ/tkm)</c:v>
                </c:pt>
              </c:strCache>
            </c:strRef>
          </c:tx>
          <c:overlay val="0"/>
          <c:txPr>
            <a:bodyPr rot="-5400000" vert="horz"/>
            <a:lstStyle/>
            <a:p>
              <a:pPr>
                <a:defRPr/>
              </a:pPr>
              <a:endParaRPr lang="en-US"/>
            </a:p>
          </c:txPr>
        </c:title>
        <c:numFmt formatCode="#,##0" sourceLinked="0"/>
        <c:majorTickMark val="out"/>
        <c:minorTickMark val="none"/>
        <c:tickLblPos val="nextTo"/>
        <c:crossAx val="117372560"/>
        <c:crosses val="autoZero"/>
        <c:crossBetween val="between"/>
      </c:valAx>
      <c:valAx>
        <c:axId val="117374912"/>
        <c:scaling>
          <c:orientation val="minMax"/>
          <c:max val="0.30000000000000004"/>
          <c:min val="0"/>
        </c:scaling>
        <c:delete val="0"/>
        <c:axPos val="r"/>
        <c:title>
          <c:tx>
            <c:strRef>
              <c:f>'Scenarios technology'!$CP$91</c:f>
              <c:strCache>
                <c:ptCount val="1"/>
                <c:pt idx="0">
                  <c:v>Specific Energy Consumtption for Freight Sea Transport (MJ/tkm)</c:v>
                </c:pt>
              </c:strCache>
            </c:strRef>
          </c:tx>
          <c:overlay val="0"/>
          <c:txPr>
            <a:bodyPr rot="-5400000" vert="horz"/>
            <a:lstStyle/>
            <a:p>
              <a:pPr>
                <a:defRPr/>
              </a:pPr>
              <a:endParaRPr lang="en-US"/>
            </a:p>
          </c:txPr>
        </c:title>
        <c:numFmt formatCode="#,##0.00" sourceLinked="1"/>
        <c:majorTickMark val="out"/>
        <c:minorTickMark val="none"/>
        <c:tickLblPos val="nextTo"/>
        <c:crossAx val="117376480"/>
        <c:crosses val="max"/>
        <c:crossBetween val="between"/>
        <c:majorUnit val="5.000000000000001E-2"/>
      </c:valAx>
      <c:catAx>
        <c:axId val="117376480"/>
        <c:scaling>
          <c:orientation val="minMax"/>
        </c:scaling>
        <c:delete val="1"/>
        <c:axPos val="b"/>
        <c:numFmt formatCode="General" sourceLinked="1"/>
        <c:majorTickMark val="out"/>
        <c:minorTickMark val="none"/>
        <c:tickLblPos val="nextTo"/>
        <c:crossAx val="117374912"/>
        <c:crosses val="autoZero"/>
        <c:auto val="1"/>
        <c:lblAlgn val="ctr"/>
        <c:lblOffset val="100"/>
        <c:noMultiLvlLbl val="0"/>
      </c:cat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technology'!$BY$21</c:f>
              <c:strCache>
                <c:ptCount val="1"/>
                <c:pt idx="0">
                  <c:v>Cars and vans &lt; 2 t</c:v>
                </c:pt>
              </c:strCache>
            </c:strRef>
          </c:tx>
          <c:spPr>
            <a:solidFill>
              <a:schemeClr val="tx1">
                <a:lumMod val="65000"/>
                <a:lumOff val="35000"/>
              </a:schemeClr>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technology'!$BZ$21:$CD$21</c:f>
              <c:numCache>
                <c:formatCode>#,##0</c:formatCode>
                <c:ptCount val="5"/>
                <c:pt idx="0">
                  <c:v>91.793355476646269</c:v>
                </c:pt>
                <c:pt idx="1">
                  <c:v>97.212619593283392</c:v>
                </c:pt>
                <c:pt idx="2">
                  <c:v>102.968990918459</c:v>
                </c:pt>
                <c:pt idx="3">
                  <c:v>109.80880672338911</c:v>
                </c:pt>
                <c:pt idx="4">
                  <c:v>116.64862252831922</c:v>
                </c:pt>
              </c:numCache>
            </c:numRef>
          </c:val>
        </c:ser>
        <c:ser>
          <c:idx val="1"/>
          <c:order val="1"/>
          <c:tx>
            <c:strRef>
              <c:f>'Scenarios technology'!$BY$22</c:f>
              <c:strCache>
                <c:ptCount val="1"/>
                <c:pt idx="0">
                  <c:v>Rail</c:v>
                </c:pt>
              </c:strCache>
            </c:strRef>
          </c:tx>
          <c:spPr>
            <a:solidFill>
              <a:schemeClr val="accent6"/>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technology'!$BZ$22:$CD$22</c:f>
              <c:numCache>
                <c:formatCode>#,##0</c:formatCode>
                <c:ptCount val="5"/>
                <c:pt idx="0">
                  <c:v>3.9226296444444451</c:v>
                </c:pt>
                <c:pt idx="1">
                  <c:v>2.6599693844492283</c:v>
                </c:pt>
                <c:pt idx="2">
                  <c:v>2.8326932118478378</c:v>
                </c:pt>
                <c:pt idx="3">
                  <c:v>2.8685255252994484</c:v>
                </c:pt>
                <c:pt idx="4">
                  <c:v>2.9043578387510589</c:v>
                </c:pt>
              </c:numCache>
            </c:numRef>
          </c:val>
        </c:ser>
        <c:ser>
          <c:idx val="2"/>
          <c:order val="2"/>
          <c:tx>
            <c:strRef>
              <c:f>'Scenarios technology'!$BY$23</c:f>
              <c:strCache>
                <c:ptCount val="1"/>
                <c:pt idx="0">
                  <c:v>Bus</c:v>
                </c:pt>
              </c:strCache>
            </c:strRef>
          </c:tx>
          <c:spPr>
            <a:solidFill>
              <a:srgbClr val="009999"/>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technology'!$BZ$23:$CD$23</c:f>
              <c:numCache>
                <c:formatCode>#,##0</c:formatCode>
                <c:ptCount val="5"/>
                <c:pt idx="0">
                  <c:v>8.9602001741258714</c:v>
                </c:pt>
                <c:pt idx="1">
                  <c:v>8.5291201741195728</c:v>
                </c:pt>
                <c:pt idx="2">
                  <c:v>7.9086069578625882</c:v>
                </c:pt>
                <c:pt idx="3">
                  <c:v>7.6963341873848767</c:v>
                </c:pt>
                <c:pt idx="4">
                  <c:v>7.4840614169071653</c:v>
                </c:pt>
              </c:numCache>
            </c:numRef>
          </c:val>
        </c:ser>
        <c:ser>
          <c:idx val="3"/>
          <c:order val="3"/>
          <c:tx>
            <c:strRef>
              <c:f>'Scenarios technology'!$BY$24</c:f>
              <c:strCache>
                <c:ptCount val="1"/>
                <c:pt idx="0">
                  <c:v>Bicycle/walking</c:v>
                </c:pt>
              </c:strCache>
            </c:strRef>
          </c:tx>
          <c:spPr>
            <a:solidFill>
              <a:srgbClr val="92D050"/>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technology'!$BZ$24:$CD$24</c:f>
              <c:numCache>
                <c:formatCode>#,##0</c:formatCode>
                <c:ptCount val="5"/>
                <c:pt idx="0">
                  <c:v>0</c:v>
                </c:pt>
                <c:pt idx="1">
                  <c:v>0</c:v>
                </c:pt>
                <c:pt idx="2">
                  <c:v>0</c:v>
                </c:pt>
                <c:pt idx="3">
                  <c:v>0</c:v>
                </c:pt>
                <c:pt idx="4">
                  <c:v>0</c:v>
                </c:pt>
              </c:numCache>
            </c:numRef>
          </c:val>
        </c:ser>
        <c:ser>
          <c:idx val="4"/>
          <c:order val="4"/>
          <c:tx>
            <c:strRef>
              <c:f>'Scenarios technology'!$BY$25</c:f>
              <c:strCache>
                <c:ptCount val="1"/>
                <c:pt idx="0">
                  <c:v>Air</c:v>
                </c:pt>
              </c:strCache>
            </c:strRef>
          </c:tx>
          <c:spPr>
            <a:solidFill>
              <a:schemeClr val="tx2">
                <a:lumMod val="75000"/>
              </a:schemeClr>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technology'!$BZ$25:$CD$25</c:f>
              <c:numCache>
                <c:formatCode>0</c:formatCode>
                <c:ptCount val="5"/>
                <c:pt idx="0">
                  <c:v>26.689175738372647</c:v>
                </c:pt>
                <c:pt idx="1">
                  <c:v>33.40940022420309</c:v>
                </c:pt>
                <c:pt idx="2">
                  <c:v>36.331487865090637</c:v>
                </c:pt>
                <c:pt idx="3" formatCode="#,##0">
                  <c:v>34.339680266271827</c:v>
                </c:pt>
                <c:pt idx="4" formatCode="#,##0">
                  <c:v>32.347872667453018</c:v>
                </c:pt>
              </c:numCache>
            </c:numRef>
          </c:val>
        </c:ser>
        <c:ser>
          <c:idx val="5"/>
          <c:order val="5"/>
          <c:tx>
            <c:strRef>
              <c:f>'Scenarios technology'!$BY$26</c:f>
              <c:strCache>
                <c:ptCount val="1"/>
                <c:pt idx="0">
                  <c:v>Sea</c:v>
                </c:pt>
              </c:strCache>
            </c:strRef>
          </c:tx>
          <c:spPr>
            <a:solidFill>
              <a:schemeClr val="accent5"/>
            </a:solidFill>
          </c:spPr>
          <c:invertIfNegative val="0"/>
          <c:cat>
            <c:numRef>
              <c:f>'Scenarios technology'!$BZ$20:$CD$20</c:f>
              <c:numCache>
                <c:formatCode>General</c:formatCode>
                <c:ptCount val="5"/>
                <c:pt idx="0">
                  <c:v>2010</c:v>
                </c:pt>
                <c:pt idx="1">
                  <c:v>2020</c:v>
                </c:pt>
                <c:pt idx="2">
                  <c:v>2030</c:v>
                </c:pt>
                <c:pt idx="3">
                  <c:v>2040</c:v>
                </c:pt>
                <c:pt idx="4">
                  <c:v>2050</c:v>
                </c:pt>
              </c:numCache>
            </c:numRef>
          </c:cat>
          <c:val>
            <c:numRef>
              <c:f>'Scenarios technology'!$BZ$26:$CD$26</c:f>
              <c:numCache>
                <c:formatCode>#,##0</c:formatCode>
                <c:ptCount val="5"/>
                <c:pt idx="0">
                  <c:v>2.7164040100250633</c:v>
                </c:pt>
                <c:pt idx="1">
                  <c:v>2.7583459480918591</c:v>
                </c:pt>
                <c:pt idx="2">
                  <c:v>2.728427023004631</c:v>
                </c:pt>
                <c:pt idx="3">
                  <c:v>2.7416384342773208</c:v>
                </c:pt>
                <c:pt idx="4">
                  <c:v>2.7548498455500101</c:v>
                </c:pt>
              </c:numCache>
            </c:numRef>
          </c:val>
        </c:ser>
        <c:dLbls>
          <c:showLegendKey val="0"/>
          <c:showVal val="0"/>
          <c:showCatName val="0"/>
          <c:showSerName val="0"/>
          <c:showPercent val="0"/>
          <c:showBubbleSize val="0"/>
        </c:dLbls>
        <c:gapWidth val="150"/>
        <c:overlap val="100"/>
        <c:axId val="117380008"/>
        <c:axId val="117380400"/>
      </c:barChart>
      <c:catAx>
        <c:axId val="117380008"/>
        <c:scaling>
          <c:orientation val="minMax"/>
        </c:scaling>
        <c:delete val="0"/>
        <c:axPos val="b"/>
        <c:numFmt formatCode="General" sourceLinked="1"/>
        <c:majorTickMark val="out"/>
        <c:minorTickMark val="none"/>
        <c:tickLblPos val="nextTo"/>
        <c:crossAx val="117380400"/>
        <c:crosses val="autoZero"/>
        <c:auto val="1"/>
        <c:lblAlgn val="ctr"/>
        <c:lblOffset val="100"/>
        <c:noMultiLvlLbl val="0"/>
      </c:catAx>
      <c:valAx>
        <c:axId val="117380400"/>
        <c:scaling>
          <c:orientation val="minMax"/>
        </c:scaling>
        <c:delete val="0"/>
        <c:axPos val="l"/>
        <c:majorGridlines>
          <c:spPr>
            <a:ln>
              <a:prstDash val="sysDot"/>
            </a:ln>
          </c:spPr>
        </c:majorGridlines>
        <c:title>
          <c:tx>
            <c:strRef>
              <c:f>'Scenarios technology'!$BY$19:$CD$19</c:f>
              <c:strCache>
                <c:ptCount val="6"/>
                <c:pt idx="0">
                  <c:v>Energy Demand for Passenger Transport (PJ)</c:v>
                </c:pt>
              </c:strCache>
            </c:strRef>
          </c:tx>
          <c:overlay val="0"/>
          <c:txPr>
            <a:bodyPr rot="-5400000" vert="horz"/>
            <a:lstStyle/>
            <a:p>
              <a:pPr>
                <a:defRPr/>
              </a:pPr>
              <a:endParaRPr lang="en-US"/>
            </a:p>
          </c:txPr>
        </c:title>
        <c:numFmt formatCode="#,##0" sourceLinked="1"/>
        <c:majorTickMark val="out"/>
        <c:minorTickMark val="none"/>
        <c:tickLblPos val="nextTo"/>
        <c:crossAx val="117380008"/>
        <c:crosses val="autoZero"/>
        <c:crossBetween val="between"/>
      </c:valAx>
    </c:plotArea>
    <c:legend>
      <c:legendPos val="r"/>
      <c:overlay val="0"/>
    </c:legend>
    <c:plotVisOnly val="1"/>
    <c:dispBlanksAs val="gap"/>
    <c:showDLblsOverMax val="0"/>
  </c:chart>
  <c:spPr>
    <a:ln>
      <a:noFill/>
    </a:ln>
  </c:spPr>
  <c:txPr>
    <a:bodyPr/>
    <a:lstStyle/>
    <a:p>
      <a:pPr>
        <a:defRPr b="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technology'!$BY$31</c:f>
              <c:strCache>
                <c:ptCount val="1"/>
                <c:pt idx="0">
                  <c:v>Vans (2-6 t)</c:v>
                </c:pt>
              </c:strCache>
            </c:strRef>
          </c:tx>
          <c:spPr>
            <a:solidFill>
              <a:schemeClr val="tx1">
                <a:lumMod val="95000"/>
                <a:lumOff val="5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technology'!$BZ$31:$CD$31</c:f>
              <c:numCache>
                <c:formatCode>#,##0</c:formatCode>
                <c:ptCount val="5"/>
                <c:pt idx="0">
                  <c:v>40.564999999999991</c:v>
                </c:pt>
                <c:pt idx="1">
                  <c:v>43.573929304048164</c:v>
                </c:pt>
                <c:pt idx="2">
                  <c:v>46.806047454559014</c:v>
                </c:pt>
                <c:pt idx="3">
                  <c:v>50.286278831379839</c:v>
                </c:pt>
                <c:pt idx="4">
                  <c:v>53.766510208200671</c:v>
                </c:pt>
              </c:numCache>
            </c:numRef>
          </c:val>
        </c:ser>
        <c:ser>
          <c:idx val="1"/>
          <c:order val="1"/>
          <c:tx>
            <c:strRef>
              <c:f>'Scenarios technology'!$BY$32</c:f>
              <c:strCache>
                <c:ptCount val="1"/>
                <c:pt idx="0">
                  <c:v>National truck</c:v>
                </c:pt>
              </c:strCache>
            </c:strRef>
          </c:tx>
          <c:spPr>
            <a:solidFill>
              <a:schemeClr val="tx1">
                <a:lumMod val="50000"/>
                <a:lumOff val="50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technology'!$BZ$32:$CD$32</c:f>
              <c:numCache>
                <c:formatCode>#,##0</c:formatCode>
                <c:ptCount val="5"/>
                <c:pt idx="0">
                  <c:v>23.96744641132123</c:v>
                </c:pt>
                <c:pt idx="1">
                  <c:v>25.954410377540896</c:v>
                </c:pt>
                <c:pt idx="2">
                  <c:v>27.47025535625367</c:v>
                </c:pt>
                <c:pt idx="3">
                  <c:v>28.636419959920683</c:v>
                </c:pt>
                <c:pt idx="4">
                  <c:v>29.802584563587697</c:v>
                </c:pt>
              </c:numCache>
            </c:numRef>
          </c:val>
        </c:ser>
        <c:ser>
          <c:idx val="2"/>
          <c:order val="2"/>
          <c:tx>
            <c:strRef>
              <c:f>'Scenarios technology'!$BY$33</c:f>
              <c:strCache>
                <c:ptCount val="1"/>
                <c:pt idx="0">
                  <c:v>International truck</c:v>
                </c:pt>
              </c:strCache>
            </c:strRef>
          </c:tx>
          <c:spPr>
            <a:solidFill>
              <a:schemeClr val="bg1">
                <a:lumMod val="75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technology'!$BZ$33:$CD$33</c:f>
              <c:numCache>
                <c:formatCode>#,##0</c:formatCode>
                <c:ptCount val="5"/>
                <c:pt idx="0">
                  <c:v>16.357653895896949</c:v>
                </c:pt>
                <c:pt idx="1">
                  <c:v>15.756227355682666</c:v>
                </c:pt>
                <c:pt idx="2">
                  <c:v>14.896967814403675</c:v>
                </c:pt>
                <c:pt idx="3">
                  <c:v>14.682797727359478</c:v>
                </c:pt>
                <c:pt idx="4">
                  <c:v>14.468627640315283</c:v>
                </c:pt>
              </c:numCache>
            </c:numRef>
          </c:val>
        </c:ser>
        <c:ser>
          <c:idx val="3"/>
          <c:order val="3"/>
          <c:tx>
            <c:strRef>
              <c:f>'Scenarios technology'!$BY$34</c:f>
              <c:strCache>
                <c:ptCount val="1"/>
                <c:pt idx="0">
                  <c:v>National rail </c:v>
                </c:pt>
              </c:strCache>
            </c:strRef>
          </c:tx>
          <c:spPr>
            <a:solidFill>
              <a:schemeClr val="accent6"/>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technology'!$BZ$34:$CD$34</c:f>
              <c:numCache>
                <c:formatCode>#,##0.0</c:formatCode>
                <c:ptCount val="5"/>
                <c:pt idx="0">
                  <c:v>6.7254065477477462E-2</c:v>
                </c:pt>
                <c:pt idx="1">
                  <c:v>5.8696738738738735E-2</c:v>
                </c:pt>
                <c:pt idx="2">
                  <c:v>5.5125045045045042E-2</c:v>
                </c:pt>
                <c:pt idx="3">
                  <c:v>5.511752252252252E-2</c:v>
                </c:pt>
                <c:pt idx="4">
                  <c:v>5.5109999999999999E-2</c:v>
                </c:pt>
              </c:numCache>
            </c:numRef>
          </c:val>
        </c:ser>
        <c:ser>
          <c:idx val="4"/>
          <c:order val="4"/>
          <c:tx>
            <c:strRef>
              <c:f>'Scenarios technology'!$BY$35</c:f>
              <c:strCache>
                <c:ptCount val="1"/>
                <c:pt idx="0">
                  <c:v>International rail</c:v>
                </c:pt>
              </c:strCache>
            </c:strRef>
          </c:tx>
          <c:spPr>
            <a:solidFill>
              <a:schemeClr val="accent6">
                <a:lumMod val="20000"/>
                <a:lumOff val="80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technology'!$BZ$35:$CD$35</c:f>
              <c:numCache>
                <c:formatCode>#,##0.0</c:formatCode>
                <c:ptCount val="5"/>
                <c:pt idx="0">
                  <c:v>0.10583999999999999</c:v>
                </c:pt>
                <c:pt idx="1">
                  <c:v>0.1328636466936069</c:v>
                </c:pt>
                <c:pt idx="2">
                  <c:v>0.16678711841197658</c:v>
                </c:pt>
                <c:pt idx="3">
                  <c:v>0.18821503065597397</c:v>
                </c:pt>
                <c:pt idx="4">
                  <c:v>0.20964294289997143</c:v>
                </c:pt>
              </c:numCache>
            </c:numRef>
          </c:val>
        </c:ser>
        <c:ser>
          <c:idx val="5"/>
          <c:order val="5"/>
          <c:tx>
            <c:strRef>
              <c:f>'Scenarios technology'!$BY$36</c:f>
              <c:strCache>
                <c:ptCount val="1"/>
                <c:pt idx="0">
                  <c:v>National air</c:v>
                </c:pt>
              </c:strCache>
            </c:strRef>
          </c:tx>
          <c:spPr>
            <a:solidFill>
              <a:schemeClr val="tx2">
                <a:lumMod val="75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technology'!$BZ$36:$CD$36</c:f>
              <c:numCache>
                <c:formatCode>#,##0.0</c:formatCode>
                <c:ptCount val="5"/>
                <c:pt idx="0">
                  <c:v>1.19556E-2</c:v>
                </c:pt>
                <c:pt idx="1">
                  <c:v>1.0922144582081185E-2</c:v>
                </c:pt>
                <c:pt idx="2">
                  <c:v>8.9241873309126845E-3</c:v>
                </c:pt>
                <c:pt idx="3">
                  <c:v>7.4410229672329034E-3</c:v>
                </c:pt>
                <c:pt idx="4">
                  <c:v>5.9578586035531232E-3</c:v>
                </c:pt>
              </c:numCache>
            </c:numRef>
          </c:val>
        </c:ser>
        <c:ser>
          <c:idx val="6"/>
          <c:order val="6"/>
          <c:tx>
            <c:strRef>
              <c:f>'Scenarios technology'!$BY$37</c:f>
              <c:strCache>
                <c:ptCount val="1"/>
                <c:pt idx="0">
                  <c:v>International air</c:v>
                </c:pt>
              </c:strCache>
            </c:strRef>
          </c:tx>
          <c:spPr>
            <a:solidFill>
              <a:srgbClr val="33CCFF"/>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technology'!$BZ$37:$CD$37</c:f>
              <c:numCache>
                <c:formatCode>#,##0.0</c:formatCode>
                <c:ptCount val="5"/>
                <c:pt idx="0">
                  <c:v>6.3504000000000005</c:v>
                </c:pt>
                <c:pt idx="1">
                  <c:v>7.2827258802074049</c:v>
                </c:pt>
                <c:pt idx="2">
                  <c:v>7.4698358380587928</c:v>
                </c:pt>
                <c:pt idx="3">
                  <c:v>6.869071816025258</c:v>
                </c:pt>
                <c:pt idx="4">
                  <c:v>6.268307793991724</c:v>
                </c:pt>
              </c:numCache>
            </c:numRef>
          </c:val>
        </c:ser>
        <c:ser>
          <c:idx val="7"/>
          <c:order val="7"/>
          <c:tx>
            <c:strRef>
              <c:f>'Scenarios technology'!$BY$38</c:f>
              <c:strCache>
                <c:ptCount val="1"/>
                <c:pt idx="0">
                  <c:v>National sea</c:v>
                </c:pt>
              </c:strCache>
            </c:strRef>
          </c:tx>
          <c:spPr>
            <a:solidFill>
              <a:schemeClr val="accent5">
                <a:lumMod val="75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technology'!$BZ$38:$CD$38</c:f>
              <c:numCache>
                <c:formatCode>#,##0.0</c:formatCode>
                <c:ptCount val="5"/>
                <c:pt idx="0">
                  <c:v>0.46988000000000002</c:v>
                </c:pt>
                <c:pt idx="1">
                  <c:v>0.47950473654922166</c:v>
                </c:pt>
                <c:pt idx="2">
                  <c:v>0.47665931030863562</c:v>
                </c:pt>
                <c:pt idx="3">
                  <c:v>0.480167993600568</c:v>
                </c:pt>
                <c:pt idx="4">
                  <c:v>0.48367667689250043</c:v>
                </c:pt>
              </c:numCache>
            </c:numRef>
          </c:val>
        </c:ser>
        <c:ser>
          <c:idx val="8"/>
          <c:order val="8"/>
          <c:tx>
            <c:strRef>
              <c:f>'Scenarios technology'!$BY$39</c:f>
              <c:strCache>
                <c:ptCount val="1"/>
                <c:pt idx="0">
                  <c:v>International sea</c:v>
                </c:pt>
              </c:strCache>
            </c:strRef>
          </c:tx>
          <c:spPr>
            <a:solidFill>
              <a:schemeClr val="accent5">
                <a:lumMod val="20000"/>
                <a:lumOff val="80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technology'!$BZ$39:$CD$39</c:f>
              <c:numCache>
                <c:formatCode>#,##0.0</c:formatCode>
                <c:ptCount val="5"/>
                <c:pt idx="0">
                  <c:v>3.2405314285714284</c:v>
                </c:pt>
                <c:pt idx="1">
                  <c:v>3.7767243086831508</c:v>
                </c:pt>
                <c:pt idx="2">
                  <c:v>4.2876918595976123</c:v>
                </c:pt>
                <c:pt idx="3">
                  <c:v>4.6309736138317676</c:v>
                </c:pt>
                <c:pt idx="4">
                  <c:v>4.9742553680659221</c:v>
                </c:pt>
              </c:numCache>
            </c:numRef>
          </c:val>
        </c:ser>
        <c:ser>
          <c:idx val="9"/>
          <c:order val="9"/>
          <c:tx>
            <c:strRef>
              <c:f>'Scenarios technology'!$BY$40</c:f>
              <c:strCache>
                <c:ptCount val="1"/>
                <c:pt idx="0">
                  <c:v>Other</c:v>
                </c:pt>
              </c:strCache>
            </c:strRef>
          </c:tx>
          <c:spPr>
            <a:solidFill>
              <a:schemeClr val="bg2">
                <a:lumMod val="90000"/>
              </a:schemeClr>
            </a:solidFill>
          </c:spPr>
          <c:invertIfNegative val="0"/>
          <c:cat>
            <c:numRef>
              <c:f>'Scenarios technology'!$BZ$30:$CD$30</c:f>
              <c:numCache>
                <c:formatCode>General</c:formatCode>
                <c:ptCount val="5"/>
                <c:pt idx="0">
                  <c:v>2010</c:v>
                </c:pt>
                <c:pt idx="1">
                  <c:v>2020</c:v>
                </c:pt>
                <c:pt idx="2">
                  <c:v>2030</c:v>
                </c:pt>
                <c:pt idx="3">
                  <c:v>2040</c:v>
                </c:pt>
                <c:pt idx="4">
                  <c:v>2050</c:v>
                </c:pt>
              </c:numCache>
            </c:numRef>
          </c:cat>
          <c:val>
            <c:numRef>
              <c:f>'Scenarios technology'!$BZ$40:$CD$40</c:f>
              <c:numCache>
                <c:formatCode>#,##0</c:formatCode>
                <c:ptCount val="5"/>
                <c:pt idx="0">
                  <c:v>27.795157894736839</c:v>
                </c:pt>
                <c:pt idx="1">
                  <c:v>25.137442572039451</c:v>
                </c:pt>
                <c:pt idx="2">
                  <c:v>20.560088673123033</c:v>
                </c:pt>
                <c:pt idx="3">
                  <c:v>17.157103674565356</c:v>
                </c:pt>
                <c:pt idx="4">
                  <c:v>13.754118676007678</c:v>
                </c:pt>
              </c:numCache>
            </c:numRef>
          </c:val>
        </c:ser>
        <c:dLbls>
          <c:showLegendKey val="0"/>
          <c:showVal val="0"/>
          <c:showCatName val="0"/>
          <c:showSerName val="0"/>
          <c:showPercent val="0"/>
          <c:showBubbleSize val="0"/>
        </c:dLbls>
        <c:gapWidth val="150"/>
        <c:overlap val="100"/>
        <c:axId val="117385496"/>
        <c:axId val="117383536"/>
      </c:barChart>
      <c:catAx>
        <c:axId val="117385496"/>
        <c:scaling>
          <c:orientation val="minMax"/>
        </c:scaling>
        <c:delete val="0"/>
        <c:axPos val="b"/>
        <c:numFmt formatCode="General" sourceLinked="1"/>
        <c:majorTickMark val="out"/>
        <c:minorTickMark val="none"/>
        <c:tickLblPos val="nextTo"/>
        <c:crossAx val="117383536"/>
        <c:crosses val="autoZero"/>
        <c:auto val="1"/>
        <c:lblAlgn val="ctr"/>
        <c:lblOffset val="100"/>
        <c:noMultiLvlLbl val="0"/>
      </c:catAx>
      <c:valAx>
        <c:axId val="117383536"/>
        <c:scaling>
          <c:orientation val="minMax"/>
        </c:scaling>
        <c:delete val="0"/>
        <c:axPos val="l"/>
        <c:majorGridlines>
          <c:spPr>
            <a:ln>
              <a:prstDash val="sysDot"/>
            </a:ln>
          </c:spPr>
        </c:majorGridlines>
        <c:title>
          <c:tx>
            <c:strRef>
              <c:f>'Scenarios technology'!$BY$29:$CD$29</c:f>
              <c:strCache>
                <c:ptCount val="6"/>
                <c:pt idx="0">
                  <c:v>Energy Demand for Freight Transport (PJ)</c:v>
                </c:pt>
              </c:strCache>
            </c:strRef>
          </c:tx>
          <c:overlay val="0"/>
          <c:txPr>
            <a:bodyPr rot="-5400000" vert="horz"/>
            <a:lstStyle/>
            <a:p>
              <a:pPr>
                <a:defRPr/>
              </a:pPr>
              <a:endParaRPr lang="en-US"/>
            </a:p>
          </c:txPr>
        </c:title>
        <c:numFmt formatCode="#,##0" sourceLinked="1"/>
        <c:majorTickMark val="out"/>
        <c:minorTickMark val="none"/>
        <c:tickLblPos val="nextTo"/>
        <c:crossAx val="117385496"/>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technology'!$CA$63</c:f>
              <c:strCache>
                <c:ptCount val="1"/>
                <c:pt idx="0">
                  <c:v>Petrol</c:v>
                </c:pt>
              </c:strCache>
            </c:strRef>
          </c:tx>
          <c:spPr>
            <a:solidFill>
              <a:schemeClr val="tx1"/>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technology'!$CA$64:$CA$68</c:f>
              <c:numCache>
                <c:formatCode>#,##0</c:formatCode>
                <c:ptCount val="5"/>
                <c:pt idx="0">
                  <c:v>5.6791</c:v>
                </c:pt>
                <c:pt idx="1">
                  <c:v>1.298763180771862</c:v>
                </c:pt>
                <c:pt idx="2">
                  <c:v>1.3950995937792141</c:v>
                </c:pt>
                <c:pt idx="3">
                  <c:v>1.4988312618884274</c:v>
                </c:pt>
                <c:pt idx="4">
                  <c:v>1.6025629299976409</c:v>
                </c:pt>
              </c:numCache>
            </c:numRef>
          </c:val>
        </c:ser>
        <c:ser>
          <c:idx val="1"/>
          <c:order val="1"/>
          <c:tx>
            <c:strRef>
              <c:f>'Scenarios technology'!$CB$63</c:f>
              <c:strCache>
                <c:ptCount val="1"/>
                <c:pt idx="0">
                  <c:v>Diesel</c:v>
                </c:pt>
              </c:strCache>
            </c:strRef>
          </c:tx>
          <c:spPr>
            <a:solidFill>
              <a:schemeClr val="tx1">
                <a:lumMod val="50000"/>
                <a:lumOff val="50000"/>
              </a:schemeClr>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technology'!$CB$64:$CB$68</c:f>
              <c:numCache>
                <c:formatCode>#,##0</c:formatCode>
                <c:ptCount val="5"/>
                <c:pt idx="0">
                  <c:v>105.25343957362492</c:v>
                </c:pt>
                <c:pt idx="1">
                  <c:v>107.50611255614</c:v>
                </c:pt>
                <c:pt idx="2">
                  <c:v>107.17701111063053</c:v>
                </c:pt>
                <c:pt idx="3">
                  <c:v>108.32656068064904</c:v>
                </c:pt>
                <c:pt idx="4">
                  <c:v>109.47611025066753</c:v>
                </c:pt>
              </c:numCache>
            </c:numRef>
          </c:val>
        </c:ser>
        <c:ser>
          <c:idx val="2"/>
          <c:order val="2"/>
          <c:tx>
            <c:strRef>
              <c:f>'Scenarios technology'!$CC$63</c:f>
              <c:strCache>
                <c:ptCount val="1"/>
                <c:pt idx="0">
                  <c:v>Jet fuel </c:v>
                </c:pt>
              </c:strCache>
            </c:strRef>
          </c:tx>
          <c:spPr>
            <a:solidFill>
              <a:schemeClr val="bg1">
                <a:lumMod val="75000"/>
              </a:schemeClr>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technology'!$CC$64:$CC$68</c:f>
              <c:numCache>
                <c:formatCode>#,##0</c:formatCode>
                <c:ptCount val="5"/>
                <c:pt idx="0">
                  <c:v>7.4413556000000005</c:v>
                </c:pt>
                <c:pt idx="1">
                  <c:v>8.2694762837239857</c:v>
                </c:pt>
                <c:pt idx="2">
                  <c:v>8.2768967282756609</c:v>
                </c:pt>
                <c:pt idx="3">
                  <c:v>7.5425466472897806</c:v>
                </c:pt>
                <c:pt idx="4">
                  <c:v>6.8081965663039004</c:v>
                </c:pt>
              </c:numCache>
            </c:numRef>
          </c:val>
        </c:ser>
        <c:ser>
          <c:idx val="3"/>
          <c:order val="3"/>
          <c:tx>
            <c:strRef>
              <c:f>'Scenarios technology'!$CD$63</c:f>
              <c:strCache>
                <c:ptCount val="1"/>
                <c:pt idx="0">
                  <c:v>Bioethanol</c:v>
                </c:pt>
              </c:strCache>
            </c:strRef>
          </c:tx>
          <c:spPr>
            <a:solidFill>
              <a:schemeClr val="accent6">
                <a:lumMod val="60000"/>
                <a:lumOff val="40000"/>
              </a:schemeClr>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technology'!$CD$64:$CD$68</c:f>
              <c:numCache>
                <c:formatCode>#,##0</c:formatCode>
                <c:ptCount val="5"/>
                <c:pt idx="0">
                  <c:v>0</c:v>
                </c:pt>
                <c:pt idx="1">
                  <c:v>1.2527504674913845</c:v>
                </c:pt>
                <c:pt idx="2">
                  <c:v>1.3456738643185715</c:v>
                </c:pt>
                <c:pt idx="3">
                  <c:v>1.4457305164021705</c:v>
                </c:pt>
                <c:pt idx="4">
                  <c:v>1.5457871684857694</c:v>
                </c:pt>
              </c:numCache>
            </c:numRef>
          </c:val>
        </c:ser>
        <c:ser>
          <c:idx val="4"/>
          <c:order val="4"/>
          <c:tx>
            <c:strRef>
              <c:f>'Scenarios technology'!$CE$63</c:f>
              <c:strCache>
                <c:ptCount val="1"/>
                <c:pt idx="0">
                  <c:v>Biodiesel</c:v>
                </c:pt>
              </c:strCache>
            </c:strRef>
          </c:tx>
          <c:spPr>
            <a:solidFill>
              <a:schemeClr val="accent6">
                <a:lumMod val="75000"/>
              </a:schemeClr>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technology'!$CE$64:$CE$68</c:f>
              <c:numCache>
                <c:formatCode>#,##0</c:formatCode>
                <c:ptCount val="5"/>
                <c:pt idx="0">
                  <c:v>0.40444450997406622</c:v>
                </c:pt>
                <c:pt idx="1">
                  <c:v>3.6511121371517392</c:v>
                </c:pt>
                <c:pt idx="2">
                  <c:v>3.7817891966313693</c:v>
                </c:pt>
                <c:pt idx="3">
                  <c:v>3.93658553342078</c:v>
                </c:pt>
                <c:pt idx="4">
                  <c:v>4.0913818702101912</c:v>
                </c:pt>
              </c:numCache>
            </c:numRef>
          </c:val>
        </c:ser>
        <c:ser>
          <c:idx val="5"/>
          <c:order val="5"/>
          <c:tx>
            <c:strRef>
              <c:f>'Scenarios technology'!$CF$63</c:f>
              <c:strCache>
                <c:ptCount val="1"/>
                <c:pt idx="0">
                  <c:v>Electricity (Train)</c:v>
                </c:pt>
              </c:strCache>
            </c:strRef>
          </c:tx>
          <c:spPr>
            <a:solidFill>
              <a:srgbClr val="0070C0"/>
            </a:solidFill>
          </c:spPr>
          <c:invertIfNegative val="0"/>
          <c:cat>
            <c:numRef>
              <c:f>'Scenarios technology'!$BZ$64:$BZ$68</c:f>
              <c:numCache>
                <c:formatCode>General</c:formatCode>
                <c:ptCount val="5"/>
                <c:pt idx="0">
                  <c:v>2010</c:v>
                </c:pt>
                <c:pt idx="1">
                  <c:v>2020</c:v>
                </c:pt>
                <c:pt idx="2">
                  <c:v>2030</c:v>
                </c:pt>
                <c:pt idx="3">
                  <c:v>2040</c:v>
                </c:pt>
                <c:pt idx="4">
                  <c:v>2050</c:v>
                </c:pt>
              </c:numCache>
            </c:numRef>
          </c:cat>
          <c:val>
            <c:numRef>
              <c:f>'Scenarios technology'!$CF$64:$CF$68</c:f>
              <c:numCache>
                <c:formatCode>#,##0</c:formatCode>
                <c:ptCount val="5"/>
                <c:pt idx="0">
                  <c:v>0.1515813</c:v>
                </c:pt>
                <c:pt idx="1">
                  <c:v>0.1852324394863997</c:v>
                </c:pt>
                <c:pt idx="2">
                  <c:v>0.22191216345702161</c:v>
                </c:pt>
                <c:pt idx="3">
                  <c:v>0.2433325531784965</c:v>
                </c:pt>
                <c:pt idx="4">
                  <c:v>0.26475294289997142</c:v>
                </c:pt>
              </c:numCache>
            </c:numRef>
          </c:val>
        </c:ser>
        <c:dLbls>
          <c:showLegendKey val="0"/>
          <c:showVal val="0"/>
          <c:showCatName val="0"/>
          <c:showSerName val="0"/>
          <c:showPercent val="0"/>
          <c:showBubbleSize val="0"/>
        </c:dLbls>
        <c:gapWidth val="150"/>
        <c:overlap val="100"/>
        <c:axId val="117385888"/>
        <c:axId val="117388240"/>
      </c:barChart>
      <c:catAx>
        <c:axId val="117385888"/>
        <c:scaling>
          <c:orientation val="minMax"/>
        </c:scaling>
        <c:delete val="0"/>
        <c:axPos val="b"/>
        <c:numFmt formatCode="General" sourceLinked="1"/>
        <c:majorTickMark val="out"/>
        <c:minorTickMark val="none"/>
        <c:tickLblPos val="nextTo"/>
        <c:crossAx val="117388240"/>
        <c:crosses val="autoZero"/>
        <c:auto val="1"/>
        <c:lblAlgn val="ctr"/>
        <c:lblOffset val="100"/>
        <c:noMultiLvlLbl val="0"/>
      </c:catAx>
      <c:valAx>
        <c:axId val="117388240"/>
        <c:scaling>
          <c:orientation val="minMax"/>
        </c:scaling>
        <c:delete val="0"/>
        <c:axPos val="l"/>
        <c:majorGridlines>
          <c:spPr>
            <a:ln>
              <a:solidFill>
                <a:schemeClr val="bg1">
                  <a:lumMod val="50000"/>
                </a:schemeClr>
              </a:solidFill>
              <a:prstDash val="sysDot"/>
            </a:ln>
          </c:spPr>
        </c:majorGridlines>
        <c:title>
          <c:tx>
            <c:strRef>
              <c:f>'Scenarios technology'!$BZ$62:$CF$62</c:f>
              <c:strCache>
                <c:ptCount val="7"/>
                <c:pt idx="0">
                  <c:v>Energy Demand for Freight Transport (PJ)</c:v>
                </c:pt>
              </c:strCache>
            </c:strRef>
          </c:tx>
          <c:overlay val="0"/>
          <c:txPr>
            <a:bodyPr rot="-5400000" vert="horz"/>
            <a:lstStyle/>
            <a:p>
              <a:pPr>
                <a:defRPr/>
              </a:pPr>
              <a:endParaRPr lang="en-US"/>
            </a:p>
          </c:txPr>
        </c:title>
        <c:numFmt formatCode="#,##0" sourceLinked="1"/>
        <c:majorTickMark val="out"/>
        <c:minorTickMark val="none"/>
        <c:tickLblPos val="nextTo"/>
        <c:crossAx val="117385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technology'!$CA$72</c:f>
              <c:strCache>
                <c:ptCount val="1"/>
                <c:pt idx="0">
                  <c:v>Petrol</c:v>
                </c:pt>
              </c:strCache>
            </c:strRef>
          </c:tx>
          <c:spPr>
            <a:solidFill>
              <a:schemeClr val="tx1">
                <a:lumMod val="95000"/>
                <a:lumOff val="5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technology'!$CA$73:$CA$77</c:f>
              <c:numCache>
                <c:formatCode>#,##0</c:formatCode>
                <c:ptCount val="5"/>
                <c:pt idx="0">
                  <c:v>70.806485710680548</c:v>
                </c:pt>
                <c:pt idx="1">
                  <c:v>61.588047399610154</c:v>
                </c:pt>
                <c:pt idx="2">
                  <c:v>57.337858893853266</c:v>
                </c:pt>
                <c:pt idx="3">
                  <c:v>49.028369151447016</c:v>
                </c:pt>
                <c:pt idx="4">
                  <c:v>40.718879409040767</c:v>
                </c:pt>
              </c:numCache>
            </c:numRef>
          </c:val>
        </c:ser>
        <c:ser>
          <c:idx val="1"/>
          <c:order val="1"/>
          <c:tx>
            <c:strRef>
              <c:f>'Scenarios technology'!$CB$72</c:f>
              <c:strCache>
                <c:ptCount val="1"/>
                <c:pt idx="0">
                  <c:v>Diesel</c:v>
                </c:pt>
              </c:strCache>
            </c:strRef>
          </c:tx>
          <c:spPr>
            <a:solidFill>
              <a:schemeClr val="tx1">
                <a:lumMod val="50000"/>
                <a:lumOff val="50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technology'!$CB$73:$CB$77</c:f>
              <c:numCache>
                <c:formatCode>#,##0</c:formatCode>
                <c:ptCount val="5"/>
                <c:pt idx="0">
                  <c:v>145.72643524434929</c:v>
                </c:pt>
                <c:pt idx="1">
                  <c:v>149.87790555592488</c:v>
                </c:pt>
                <c:pt idx="2">
                  <c:v>158.4648148319942</c:v>
                </c:pt>
                <c:pt idx="3">
                  <c:v>174.28725653377225</c:v>
                </c:pt>
                <c:pt idx="4">
                  <c:v>190.1096982355503</c:v>
                </c:pt>
              </c:numCache>
            </c:numRef>
          </c:val>
        </c:ser>
        <c:ser>
          <c:idx val="2"/>
          <c:order val="2"/>
          <c:tx>
            <c:strRef>
              <c:f>'Scenarios technology'!$CC$72</c:f>
              <c:strCache>
                <c:ptCount val="1"/>
                <c:pt idx="0">
                  <c:v>Jet fuel </c:v>
                </c:pt>
              </c:strCache>
            </c:strRef>
          </c:tx>
          <c:spPr>
            <a:solidFill>
              <a:schemeClr val="bg1">
                <a:lumMod val="75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technology'!$CC$73:$CC$77</c:f>
              <c:numCache>
                <c:formatCode>#,##0</c:formatCode>
                <c:ptCount val="5"/>
                <c:pt idx="0">
                  <c:v>34.130531338372641</c:v>
                </c:pt>
                <c:pt idx="1">
                  <c:v>41.678876507927072</c:v>
                </c:pt>
                <c:pt idx="2">
                  <c:v>44.608384593366296</c:v>
                </c:pt>
                <c:pt idx="3">
                  <c:v>41.88222691356161</c:v>
                </c:pt>
                <c:pt idx="4">
                  <c:v>39.156069233756917</c:v>
                </c:pt>
              </c:numCache>
            </c:numRef>
          </c:val>
        </c:ser>
        <c:ser>
          <c:idx val="3"/>
          <c:order val="3"/>
          <c:tx>
            <c:strRef>
              <c:f>'Scenarios technology'!$CD$72</c:f>
              <c:strCache>
                <c:ptCount val="1"/>
                <c:pt idx="0">
                  <c:v>Bioethanol</c:v>
                </c:pt>
              </c:strCache>
            </c:strRef>
          </c:tx>
          <c:spPr>
            <a:solidFill>
              <a:schemeClr val="accent6">
                <a:lumMod val="60000"/>
                <a:lumOff val="40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technology'!$CD$73:$CD$77</c:f>
              <c:numCache>
                <c:formatCode>#,##0</c:formatCode>
                <c:ptCount val="5"/>
                <c:pt idx="0">
                  <c:v>0.22948338869161566</c:v>
                </c:pt>
                <c:pt idx="1">
                  <c:v>4.0476132807982825</c:v>
                </c:pt>
                <c:pt idx="2">
                  <c:v>4.3060323532242677</c:v>
                </c:pt>
                <c:pt idx="3">
                  <c:v>4.6027337096996082</c:v>
                </c:pt>
                <c:pt idx="4">
                  <c:v>4.8994350661749468</c:v>
                </c:pt>
              </c:numCache>
            </c:numRef>
          </c:val>
        </c:ser>
        <c:ser>
          <c:idx val="4"/>
          <c:order val="4"/>
          <c:tx>
            <c:strRef>
              <c:f>'Scenarios technology'!$CE$72</c:f>
              <c:strCache>
                <c:ptCount val="1"/>
                <c:pt idx="0">
                  <c:v>Biodiesel</c:v>
                </c:pt>
              </c:strCache>
            </c:strRef>
          </c:tx>
          <c:spPr>
            <a:solidFill>
              <a:schemeClr val="accent6">
                <a:lumMod val="75000"/>
              </a:schemeClr>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technology'!$CE$73:$CE$77</c:f>
              <c:numCache>
                <c:formatCode>#,##0</c:formatCode>
                <c:ptCount val="5"/>
                <c:pt idx="0">
                  <c:v>0.67872892314868094</c:v>
                </c:pt>
                <c:pt idx="1">
                  <c:v>6.9363993604705119</c:v>
                </c:pt>
                <c:pt idx="2">
                  <c:v>7.1968925856141652</c:v>
                </c:pt>
                <c:pt idx="3">
                  <c:v>7.5361279424928478</c:v>
                </c:pt>
                <c:pt idx="4">
                  <c:v>7.8753632993715303</c:v>
                </c:pt>
              </c:numCache>
            </c:numRef>
          </c:val>
        </c:ser>
        <c:ser>
          <c:idx val="5"/>
          <c:order val="5"/>
          <c:tx>
            <c:strRef>
              <c:f>'Scenarios technology'!$CF$72</c:f>
              <c:strCache>
                <c:ptCount val="1"/>
                <c:pt idx="0">
                  <c:v>Electricity (Train)</c:v>
                </c:pt>
              </c:strCache>
            </c:strRef>
          </c:tx>
          <c:spPr>
            <a:solidFill>
              <a:srgbClr val="0070C0"/>
            </a:solidFill>
          </c:spPr>
          <c:invertIfNegative val="0"/>
          <c:cat>
            <c:numRef>
              <c:f>'Scenarios technology'!$BZ$73:$BZ$77</c:f>
              <c:numCache>
                <c:formatCode>General</c:formatCode>
                <c:ptCount val="5"/>
                <c:pt idx="0">
                  <c:v>2010</c:v>
                </c:pt>
                <c:pt idx="1">
                  <c:v>2020</c:v>
                </c:pt>
                <c:pt idx="2">
                  <c:v>2030</c:v>
                </c:pt>
                <c:pt idx="3">
                  <c:v>2040</c:v>
                </c:pt>
                <c:pt idx="4">
                  <c:v>2050</c:v>
                </c:pt>
              </c:numCache>
            </c:numRef>
          </c:cat>
          <c:val>
            <c:numRef>
              <c:f>'Scenarios technology'!$CF$73:$CF$77</c:f>
              <c:numCache>
                <c:formatCode>#,##0</c:formatCode>
                <c:ptCount val="5"/>
                <c:pt idx="0">
                  <c:v>1.4400261444444442</c:v>
                </c:pt>
                <c:pt idx="1">
                  <c:v>2.604060284181609</c:v>
                </c:pt>
                <c:pt idx="2">
                  <c:v>3.0546053753048596</c:v>
                </c:pt>
                <c:pt idx="3">
                  <c:v>3.1118580784779448</c:v>
                </c:pt>
                <c:pt idx="4">
                  <c:v>3.1691107816510304</c:v>
                </c:pt>
              </c:numCache>
            </c:numRef>
          </c:val>
        </c:ser>
        <c:dLbls>
          <c:showLegendKey val="0"/>
          <c:showVal val="0"/>
          <c:showCatName val="0"/>
          <c:showSerName val="0"/>
          <c:showPercent val="0"/>
          <c:showBubbleSize val="0"/>
        </c:dLbls>
        <c:gapWidth val="150"/>
        <c:overlap val="100"/>
        <c:axId val="117389024"/>
        <c:axId val="117383928"/>
      </c:barChart>
      <c:catAx>
        <c:axId val="117389024"/>
        <c:scaling>
          <c:orientation val="minMax"/>
        </c:scaling>
        <c:delete val="0"/>
        <c:axPos val="b"/>
        <c:numFmt formatCode="General" sourceLinked="1"/>
        <c:majorTickMark val="out"/>
        <c:minorTickMark val="none"/>
        <c:tickLblPos val="nextTo"/>
        <c:crossAx val="117383928"/>
        <c:crosses val="autoZero"/>
        <c:auto val="1"/>
        <c:lblAlgn val="ctr"/>
        <c:lblOffset val="100"/>
        <c:noMultiLvlLbl val="0"/>
      </c:catAx>
      <c:valAx>
        <c:axId val="117383928"/>
        <c:scaling>
          <c:orientation val="minMax"/>
          <c:max val="300"/>
          <c:min val="0"/>
        </c:scaling>
        <c:delete val="0"/>
        <c:axPos val="l"/>
        <c:majorGridlines>
          <c:spPr>
            <a:ln>
              <a:prstDash val="sysDot"/>
            </a:ln>
          </c:spPr>
        </c:majorGridlines>
        <c:title>
          <c:tx>
            <c:strRef>
              <c:f>'Scenarios technology'!$BZ$71:$CF$71</c:f>
              <c:strCache>
                <c:ptCount val="7"/>
                <c:pt idx="0">
                  <c:v>Energy Demand for Transport (PJ)</c:v>
                </c:pt>
              </c:strCache>
            </c:strRef>
          </c:tx>
          <c:overlay val="0"/>
          <c:txPr>
            <a:bodyPr rot="-5400000" vert="horz"/>
            <a:lstStyle/>
            <a:p>
              <a:pPr>
                <a:defRPr/>
              </a:pPr>
              <a:endParaRPr lang="en-US"/>
            </a:p>
          </c:txPr>
        </c:title>
        <c:numFmt formatCode="General" sourceLinked="0"/>
        <c:majorTickMark val="out"/>
        <c:minorTickMark val="none"/>
        <c:tickLblPos val="nextTo"/>
        <c:crossAx val="117389024"/>
        <c:crosses val="autoZero"/>
        <c:crossBetween val="between"/>
        <c:majorUnit val="50"/>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'Scenarios technology'!$CA$54</c:f>
              <c:strCache>
                <c:ptCount val="1"/>
                <c:pt idx="0">
                  <c:v>Petrol</c:v>
                </c:pt>
              </c:strCache>
            </c:strRef>
          </c:tx>
          <c:spPr>
            <a:solidFill>
              <a:schemeClr val="tx1"/>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technology'!$CA$55:$CA$59</c:f>
              <c:numCache>
                <c:formatCode>#,##0</c:formatCode>
                <c:ptCount val="5"/>
                <c:pt idx="0">
                  <c:v>65.127385710680542</c:v>
                </c:pt>
                <c:pt idx="1">
                  <c:v>60.28928421883829</c:v>
                </c:pt>
                <c:pt idx="2">
                  <c:v>55.942759300074052</c:v>
                </c:pt>
                <c:pt idx="3">
                  <c:v>47.52953788955859</c:v>
                </c:pt>
                <c:pt idx="4">
                  <c:v>39.116316479043128</c:v>
                </c:pt>
              </c:numCache>
            </c:numRef>
          </c:val>
        </c:ser>
        <c:ser>
          <c:idx val="1"/>
          <c:order val="1"/>
          <c:tx>
            <c:strRef>
              <c:f>'Scenarios technology'!$CB$54</c:f>
              <c:strCache>
                <c:ptCount val="1"/>
                <c:pt idx="0">
                  <c:v>Diesel</c:v>
                </c:pt>
              </c:strCache>
            </c:strRef>
          </c:tx>
          <c:spPr>
            <a:solidFill>
              <a:schemeClr val="tx1">
                <a:lumMod val="50000"/>
                <a:lumOff val="50000"/>
              </a:schemeClr>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technology'!$CB$55:$CB$59</c:f>
              <c:numCache>
                <c:formatCode>#,##0</c:formatCode>
                <c:ptCount val="5"/>
                <c:pt idx="0">
                  <c:v>40.472995670724366</c:v>
                </c:pt>
                <c:pt idx="1">
                  <c:v>42.37179299978488</c:v>
                </c:pt>
                <c:pt idx="2">
                  <c:v>51.287803721363666</c:v>
                </c:pt>
                <c:pt idx="3">
                  <c:v>65.960695853123212</c:v>
                </c:pt>
                <c:pt idx="4">
                  <c:v>80.633587984882752</c:v>
                </c:pt>
              </c:numCache>
            </c:numRef>
          </c:val>
        </c:ser>
        <c:ser>
          <c:idx val="2"/>
          <c:order val="2"/>
          <c:tx>
            <c:strRef>
              <c:f>'Scenarios technology'!$CC$54</c:f>
              <c:strCache>
                <c:ptCount val="1"/>
                <c:pt idx="0">
                  <c:v>Jet fuel </c:v>
                </c:pt>
              </c:strCache>
            </c:strRef>
          </c:tx>
          <c:spPr>
            <a:solidFill>
              <a:schemeClr val="bg1">
                <a:lumMod val="75000"/>
              </a:schemeClr>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technology'!$CC$55:$CC$59</c:f>
              <c:numCache>
                <c:formatCode>#,##0</c:formatCode>
                <c:ptCount val="5"/>
                <c:pt idx="0">
                  <c:v>26.689175738372644</c:v>
                </c:pt>
                <c:pt idx="1">
                  <c:v>33.40940022420309</c:v>
                </c:pt>
                <c:pt idx="2">
                  <c:v>36.331487865090637</c:v>
                </c:pt>
                <c:pt idx="3">
                  <c:v>34.339680266271827</c:v>
                </c:pt>
                <c:pt idx="4">
                  <c:v>32.347872667453018</c:v>
                </c:pt>
              </c:numCache>
            </c:numRef>
          </c:val>
        </c:ser>
        <c:ser>
          <c:idx val="3"/>
          <c:order val="3"/>
          <c:tx>
            <c:strRef>
              <c:f>'Scenarios technology'!$CD$54</c:f>
              <c:strCache>
                <c:ptCount val="1"/>
                <c:pt idx="0">
                  <c:v>Bioethanol</c:v>
                </c:pt>
              </c:strCache>
            </c:strRef>
          </c:tx>
          <c:spPr>
            <a:solidFill>
              <a:schemeClr val="accent6">
                <a:lumMod val="60000"/>
                <a:lumOff val="40000"/>
              </a:schemeClr>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technology'!$CD$55:$CD$59</c:f>
              <c:numCache>
                <c:formatCode>#,##0</c:formatCode>
                <c:ptCount val="5"/>
                <c:pt idx="0">
                  <c:v>0.22948338869161566</c:v>
                </c:pt>
                <c:pt idx="1">
                  <c:v>2.794862813306898</c:v>
                </c:pt>
                <c:pt idx="2">
                  <c:v>2.9603584889056966</c:v>
                </c:pt>
                <c:pt idx="3">
                  <c:v>3.1570031932974372</c:v>
                </c:pt>
                <c:pt idx="4">
                  <c:v>3.3536478976891777</c:v>
                </c:pt>
              </c:numCache>
            </c:numRef>
          </c:val>
        </c:ser>
        <c:ser>
          <c:idx val="4"/>
          <c:order val="4"/>
          <c:tx>
            <c:strRef>
              <c:f>'Scenarios technology'!$CE$54</c:f>
              <c:strCache>
                <c:ptCount val="1"/>
                <c:pt idx="0">
                  <c:v>Biodiesel</c:v>
                </c:pt>
              </c:strCache>
            </c:strRef>
          </c:tx>
          <c:spPr>
            <a:solidFill>
              <a:schemeClr val="accent6">
                <a:lumMod val="75000"/>
              </a:schemeClr>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technology'!$CE$55:$CE$59</c:f>
              <c:numCache>
                <c:formatCode>#,##0</c:formatCode>
                <c:ptCount val="5"/>
                <c:pt idx="0">
                  <c:v>0.27428441317461472</c:v>
                </c:pt>
                <c:pt idx="1">
                  <c:v>3.2852872233187731</c:v>
                </c:pt>
                <c:pt idx="2">
                  <c:v>3.4151033889827955</c:v>
                </c:pt>
                <c:pt idx="3">
                  <c:v>3.5995424090720678</c:v>
                </c:pt>
                <c:pt idx="4">
                  <c:v>3.7839814291613396</c:v>
                </c:pt>
              </c:numCache>
            </c:numRef>
          </c:val>
        </c:ser>
        <c:ser>
          <c:idx val="5"/>
          <c:order val="5"/>
          <c:tx>
            <c:strRef>
              <c:f>'Scenarios technology'!$CF$54</c:f>
              <c:strCache>
                <c:ptCount val="1"/>
                <c:pt idx="0">
                  <c:v>Electricity (Train)</c:v>
                </c:pt>
              </c:strCache>
            </c:strRef>
          </c:tx>
          <c:spPr>
            <a:solidFill>
              <a:srgbClr val="0070C0"/>
            </a:solidFill>
          </c:spPr>
          <c:invertIfNegative val="0"/>
          <c:cat>
            <c:numRef>
              <c:f>'Scenarios technology'!$BZ$55:$BZ$59</c:f>
              <c:numCache>
                <c:formatCode>General</c:formatCode>
                <c:ptCount val="5"/>
                <c:pt idx="0">
                  <c:v>2010</c:v>
                </c:pt>
                <c:pt idx="1">
                  <c:v>2020</c:v>
                </c:pt>
                <c:pt idx="2">
                  <c:v>2030</c:v>
                </c:pt>
                <c:pt idx="3">
                  <c:v>2040</c:v>
                </c:pt>
                <c:pt idx="4">
                  <c:v>2050</c:v>
                </c:pt>
              </c:numCache>
            </c:numRef>
          </c:cat>
          <c:val>
            <c:numRef>
              <c:f>'Scenarios technology'!$CF$55:$CF$59</c:f>
              <c:numCache>
                <c:formatCode>#,##0</c:formatCode>
                <c:ptCount val="5"/>
                <c:pt idx="0">
                  <c:v>1.2884448444444443</c:v>
                </c:pt>
                <c:pt idx="1">
                  <c:v>2.4188278446952092</c:v>
                </c:pt>
                <c:pt idx="2">
                  <c:v>2.8326932118478378</c:v>
                </c:pt>
                <c:pt idx="3">
                  <c:v>2.8685255252994484</c:v>
                </c:pt>
                <c:pt idx="4">
                  <c:v>2.9043578387510589</c:v>
                </c:pt>
              </c:numCache>
            </c:numRef>
          </c:val>
        </c:ser>
        <c:dLbls>
          <c:showLegendKey val="0"/>
          <c:showVal val="0"/>
          <c:showCatName val="0"/>
          <c:showSerName val="0"/>
          <c:showPercent val="0"/>
          <c:showBubbleSize val="0"/>
        </c:dLbls>
        <c:gapWidth val="150"/>
        <c:overlap val="100"/>
        <c:axId val="117386280"/>
        <c:axId val="117380792"/>
      </c:barChart>
      <c:catAx>
        <c:axId val="117386280"/>
        <c:scaling>
          <c:orientation val="minMax"/>
        </c:scaling>
        <c:delete val="0"/>
        <c:axPos val="b"/>
        <c:numFmt formatCode="General" sourceLinked="1"/>
        <c:majorTickMark val="out"/>
        <c:minorTickMark val="none"/>
        <c:tickLblPos val="nextTo"/>
        <c:crossAx val="117380792"/>
        <c:crosses val="autoZero"/>
        <c:auto val="1"/>
        <c:lblAlgn val="ctr"/>
        <c:lblOffset val="100"/>
        <c:noMultiLvlLbl val="0"/>
      </c:catAx>
      <c:valAx>
        <c:axId val="117380792"/>
        <c:scaling>
          <c:orientation val="minMax"/>
        </c:scaling>
        <c:delete val="0"/>
        <c:axPos val="l"/>
        <c:majorGridlines>
          <c:spPr>
            <a:ln>
              <a:solidFill>
                <a:schemeClr val="bg1">
                  <a:lumMod val="50000"/>
                </a:schemeClr>
              </a:solidFill>
              <a:prstDash val="sysDot"/>
            </a:ln>
          </c:spPr>
        </c:majorGridlines>
        <c:title>
          <c:tx>
            <c:strRef>
              <c:f>'Scenarios technology'!$BZ$53:$CF$53</c:f>
              <c:strCache>
                <c:ptCount val="7"/>
                <c:pt idx="0">
                  <c:v>Energy Demand for Passenger Transport (PJ)</c:v>
                </c:pt>
              </c:strCache>
            </c:strRef>
          </c:tx>
          <c:overlay val="0"/>
          <c:txPr>
            <a:bodyPr rot="-5400000" vert="horz"/>
            <a:lstStyle/>
            <a:p>
              <a:pPr>
                <a:defRPr/>
              </a:pPr>
              <a:endParaRPr lang="en-US"/>
            </a:p>
          </c:txPr>
        </c:title>
        <c:numFmt formatCode="#,##0" sourceLinked="1"/>
        <c:majorTickMark val="out"/>
        <c:minorTickMark val="none"/>
        <c:tickLblPos val="nextTo"/>
        <c:crossAx val="117386280"/>
        <c:crosses val="autoZero"/>
        <c:crossBetween val="between"/>
      </c:valAx>
    </c:plotArea>
    <c:legend>
      <c:legendPos val="r"/>
      <c:overlay val="0"/>
    </c:legend>
    <c:plotVisOnly val="1"/>
    <c:dispBlanksAs val="gap"/>
    <c:showDLblsOverMax val="0"/>
  </c:chart>
  <c:spPr>
    <a:ln>
      <a:noFill/>
    </a:ln>
  </c:spPr>
  <c:txPr>
    <a:bodyPr/>
    <a:lstStyle/>
    <a:p>
      <a:pPr>
        <a:defRPr b="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transport energy demand, PJ (incl.</a:t>
            </a:r>
            <a:r>
              <a:rPr lang="en-US" baseline="0"/>
              <a:t> international)</a:t>
            </a:r>
            <a:endParaRPr lang="en-US"/>
          </a:p>
        </c:rich>
      </c:tx>
      <c:overlay val="0"/>
    </c:title>
    <c:autoTitleDeleted val="0"/>
    <c:plotArea>
      <c:layout/>
      <c:barChart>
        <c:barDir val="col"/>
        <c:grouping val="stacked"/>
        <c:varyColors val="0"/>
        <c:ser>
          <c:idx val="0"/>
          <c:order val="0"/>
          <c:tx>
            <c:strRef>
              <c:f>Results!$B$76</c:f>
              <c:strCache>
                <c:ptCount val="1"/>
                <c:pt idx="0">
                  <c:v>Vans (2-6 t)</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Results!$C$76:$G$76</c:f>
              <c:numCache>
                <c:formatCode>0</c:formatCode>
                <c:ptCount val="5"/>
                <c:pt idx="0">
                  <c:v>40.564999999999998</c:v>
                </c:pt>
                <c:pt idx="1">
                  <c:v>43.573929304048157</c:v>
                </c:pt>
                <c:pt idx="2">
                  <c:v>46.806047454559014</c:v>
                </c:pt>
                <c:pt idx="3">
                  <c:v>50.286278831379846</c:v>
                </c:pt>
                <c:pt idx="4">
                  <c:v>53.766510208200671</c:v>
                </c:pt>
              </c:numCache>
            </c:numRef>
          </c:val>
        </c:ser>
        <c:ser>
          <c:idx val="1"/>
          <c:order val="1"/>
          <c:tx>
            <c:strRef>
              <c:f>Results!$B$77</c:f>
              <c:strCache>
                <c:ptCount val="1"/>
                <c:pt idx="0">
                  <c:v>National truck</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Results!$C$77:$G$77</c:f>
              <c:numCache>
                <c:formatCode>0</c:formatCode>
                <c:ptCount val="5"/>
                <c:pt idx="0">
                  <c:v>23.966248098916282</c:v>
                </c:pt>
                <c:pt idx="1">
                  <c:v>25.954410377540899</c:v>
                </c:pt>
                <c:pt idx="2">
                  <c:v>27.47025535625367</c:v>
                </c:pt>
                <c:pt idx="3">
                  <c:v>28.636419959920683</c:v>
                </c:pt>
                <c:pt idx="4">
                  <c:v>29.802584563587697</c:v>
                </c:pt>
              </c:numCache>
            </c:numRef>
          </c:val>
        </c:ser>
        <c:ser>
          <c:idx val="2"/>
          <c:order val="2"/>
          <c:tx>
            <c:strRef>
              <c:f>Results!$B$78</c:f>
              <c:strCache>
                <c:ptCount val="1"/>
                <c:pt idx="0">
                  <c:v>International truck</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Results!$C$78:$G$78</c:f>
              <c:numCache>
                <c:formatCode>0</c:formatCode>
                <c:ptCount val="5"/>
                <c:pt idx="0">
                  <c:v>16.357653895896952</c:v>
                </c:pt>
                <c:pt idx="1">
                  <c:v>15.756227355682668</c:v>
                </c:pt>
                <c:pt idx="2">
                  <c:v>14.896967814403675</c:v>
                </c:pt>
                <c:pt idx="3">
                  <c:v>14.682797727359478</c:v>
                </c:pt>
                <c:pt idx="4">
                  <c:v>14.468627640315283</c:v>
                </c:pt>
              </c:numCache>
            </c:numRef>
          </c:val>
        </c:ser>
        <c:ser>
          <c:idx val="3"/>
          <c:order val="3"/>
          <c:tx>
            <c:strRef>
              <c:f>Results!$B$79</c:f>
              <c:strCache>
                <c:ptCount val="1"/>
                <c:pt idx="0">
                  <c:v>National rail </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Results!$C$79:$G$79</c:f>
              <c:numCache>
                <c:formatCode>0</c:formatCode>
                <c:ptCount val="5"/>
                <c:pt idx="0">
                  <c:v>6.7254065477477476E-2</c:v>
                </c:pt>
                <c:pt idx="1">
                  <c:v>5.8696738738738749E-2</c:v>
                </c:pt>
                <c:pt idx="2">
                  <c:v>5.5125045045045042E-2</c:v>
                </c:pt>
                <c:pt idx="3">
                  <c:v>5.511752252252252E-2</c:v>
                </c:pt>
                <c:pt idx="4">
                  <c:v>5.5109999999999999E-2</c:v>
                </c:pt>
              </c:numCache>
            </c:numRef>
          </c:val>
        </c:ser>
        <c:ser>
          <c:idx val="4"/>
          <c:order val="4"/>
          <c:tx>
            <c:strRef>
              <c:f>Results!$B$80</c:f>
              <c:strCache>
                <c:ptCount val="1"/>
                <c:pt idx="0">
                  <c:v>International rail</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Results!$C$80:$G$80</c:f>
              <c:numCache>
                <c:formatCode>0</c:formatCode>
                <c:ptCount val="5"/>
                <c:pt idx="0">
                  <c:v>0.10583999999999999</c:v>
                </c:pt>
                <c:pt idx="1">
                  <c:v>0.1328636466936069</c:v>
                </c:pt>
                <c:pt idx="2">
                  <c:v>0.16678711841197658</c:v>
                </c:pt>
                <c:pt idx="3">
                  <c:v>0.188215030655974</c:v>
                </c:pt>
                <c:pt idx="4">
                  <c:v>0.20964294289997143</c:v>
                </c:pt>
              </c:numCache>
            </c:numRef>
          </c:val>
        </c:ser>
        <c:ser>
          <c:idx val="5"/>
          <c:order val="5"/>
          <c:tx>
            <c:strRef>
              <c:f>Results!$B$81</c:f>
              <c:strCache>
                <c:ptCount val="1"/>
                <c:pt idx="0">
                  <c:v>National cargo air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Results!$C$81:$G$81</c:f>
              <c:numCache>
                <c:formatCode>0</c:formatCode>
                <c:ptCount val="5"/>
                <c:pt idx="0">
                  <c:v>1.19556E-2</c:v>
                </c:pt>
                <c:pt idx="1">
                  <c:v>1.0922144582081185E-2</c:v>
                </c:pt>
                <c:pt idx="2">
                  <c:v>8.9241873309126845E-3</c:v>
                </c:pt>
                <c:pt idx="3">
                  <c:v>7.4410229672329034E-3</c:v>
                </c:pt>
                <c:pt idx="4">
                  <c:v>5.9578586035531232E-3</c:v>
                </c:pt>
              </c:numCache>
            </c:numRef>
          </c:val>
        </c:ser>
        <c:ser>
          <c:idx val="6"/>
          <c:order val="6"/>
          <c:tx>
            <c:strRef>
              <c:f>Results!$B$82</c:f>
              <c:strCache>
                <c:ptCount val="1"/>
                <c:pt idx="0">
                  <c:v>International cargo air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Results!$C$82:$G$82</c:f>
              <c:numCache>
                <c:formatCode>0</c:formatCode>
                <c:ptCount val="5"/>
                <c:pt idx="0">
                  <c:v>6.3504000000000005</c:v>
                </c:pt>
                <c:pt idx="1">
                  <c:v>7.2827258802074049</c:v>
                </c:pt>
                <c:pt idx="2">
                  <c:v>7.4698358380587928</c:v>
                </c:pt>
                <c:pt idx="3">
                  <c:v>6.869071816025258</c:v>
                </c:pt>
                <c:pt idx="4">
                  <c:v>6.268307793991724</c:v>
                </c:pt>
              </c:numCache>
            </c:numRef>
          </c:val>
        </c:ser>
        <c:ser>
          <c:idx val="7"/>
          <c:order val="7"/>
          <c:tx>
            <c:strRef>
              <c:f>Results!$B$83</c:f>
              <c:strCache>
                <c:ptCount val="1"/>
                <c:pt idx="0">
                  <c:v>National cargo sea</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Results!$C$83:$G$83</c:f>
              <c:numCache>
                <c:formatCode>0</c:formatCode>
                <c:ptCount val="5"/>
                <c:pt idx="0">
                  <c:v>0.46988000000000002</c:v>
                </c:pt>
                <c:pt idx="1">
                  <c:v>0.47950473654922166</c:v>
                </c:pt>
                <c:pt idx="2">
                  <c:v>0.47665931030863562</c:v>
                </c:pt>
                <c:pt idx="3">
                  <c:v>0.48016799360056805</c:v>
                </c:pt>
                <c:pt idx="4">
                  <c:v>0.48367667689250043</c:v>
                </c:pt>
              </c:numCache>
            </c:numRef>
          </c:val>
        </c:ser>
        <c:ser>
          <c:idx val="8"/>
          <c:order val="8"/>
          <c:tx>
            <c:strRef>
              <c:f>Results!$B$84</c:f>
              <c:strCache>
                <c:ptCount val="1"/>
                <c:pt idx="0">
                  <c:v>International cargo sea</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Results!$C$84:$G$84</c:f>
              <c:numCache>
                <c:formatCode>0</c:formatCode>
                <c:ptCount val="5"/>
                <c:pt idx="0">
                  <c:v>3.2405314285714284</c:v>
                </c:pt>
                <c:pt idx="1">
                  <c:v>3.7767243086831508</c:v>
                </c:pt>
                <c:pt idx="2">
                  <c:v>4.2876918595976123</c:v>
                </c:pt>
                <c:pt idx="3">
                  <c:v>4.6309736138317668</c:v>
                </c:pt>
                <c:pt idx="4">
                  <c:v>4.9742553680659221</c:v>
                </c:pt>
              </c:numCache>
            </c:numRef>
          </c:val>
        </c:ser>
        <c:ser>
          <c:idx val="9"/>
          <c:order val="9"/>
          <c:tx>
            <c:strRef>
              <c:f>Results!$B$85</c:f>
              <c:strCache>
                <c:ptCount val="1"/>
                <c:pt idx="0">
                  <c:v>Other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Results!$C$85:$G$85</c:f>
              <c:numCache>
                <c:formatCode>0</c:formatCode>
                <c:ptCount val="5"/>
                <c:pt idx="0">
                  <c:v>27.795157894736839</c:v>
                </c:pt>
                <c:pt idx="1">
                  <c:v>25.137442572039451</c:v>
                </c:pt>
                <c:pt idx="2">
                  <c:v>20.560088673123033</c:v>
                </c:pt>
                <c:pt idx="3">
                  <c:v>17.157103674565356</c:v>
                </c:pt>
                <c:pt idx="4">
                  <c:v>13.754118676007678</c:v>
                </c:pt>
              </c:numCache>
            </c:numRef>
          </c:val>
        </c:ser>
        <c:dLbls>
          <c:showLegendKey val="0"/>
          <c:showVal val="0"/>
          <c:showCatName val="0"/>
          <c:showSerName val="0"/>
          <c:showPercent val="0"/>
          <c:showBubbleSize val="0"/>
        </c:dLbls>
        <c:gapWidth val="150"/>
        <c:overlap val="100"/>
        <c:axId val="115427872"/>
        <c:axId val="115429440"/>
      </c:barChart>
      <c:catAx>
        <c:axId val="115427872"/>
        <c:scaling>
          <c:orientation val="minMax"/>
        </c:scaling>
        <c:delete val="0"/>
        <c:axPos val="b"/>
        <c:numFmt formatCode="General" sourceLinked="1"/>
        <c:majorTickMark val="out"/>
        <c:minorTickMark val="none"/>
        <c:tickLblPos val="nextTo"/>
        <c:crossAx val="115429440"/>
        <c:crosses val="autoZero"/>
        <c:auto val="1"/>
        <c:lblAlgn val="ctr"/>
        <c:lblOffset val="100"/>
        <c:noMultiLvlLbl val="0"/>
      </c:catAx>
      <c:valAx>
        <c:axId val="115429440"/>
        <c:scaling>
          <c:orientation val="minMax"/>
        </c:scaling>
        <c:delete val="0"/>
        <c:axPos val="l"/>
        <c:majorGridlines/>
        <c:numFmt formatCode="#,##0" sourceLinked="0"/>
        <c:majorTickMark val="out"/>
        <c:minorTickMark val="none"/>
        <c:tickLblPos val="nextTo"/>
        <c:crossAx val="115427872"/>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Passenger market</a:t>
            </a:r>
            <a:r>
              <a:rPr lang="da-DK" baseline="0"/>
              <a:t> shares, pkm (excl. aviation and sea)</a:t>
            </a:r>
            <a:endParaRPr lang="da-DK"/>
          </a:p>
        </c:rich>
      </c:tx>
      <c:overlay val="0"/>
    </c:title>
    <c:autoTitleDeleted val="0"/>
    <c:plotArea>
      <c:layout/>
      <c:barChart>
        <c:barDir val="col"/>
        <c:grouping val="percentStacked"/>
        <c:varyColors val="0"/>
        <c:ser>
          <c:idx val="0"/>
          <c:order val="0"/>
          <c:tx>
            <c:strRef>
              <c:f>'Growth, Modal Shift, InfraCosts'!$Q$21</c:f>
              <c:strCache>
                <c:ptCount val="1"/>
                <c:pt idx="0">
                  <c:v>Vehilces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InfraCosts'!$R$21:$U$21</c:f>
              <c:numCache>
                <c:formatCode>0.0%</c:formatCode>
                <c:ptCount val="4"/>
                <c:pt idx="0">
                  <c:v>0.71584610308633767</c:v>
                </c:pt>
                <c:pt idx="1">
                  <c:v>0.753682800323906</c:v>
                </c:pt>
                <c:pt idx="2">
                  <c:v>0.78188836450370081</c:v>
                </c:pt>
                <c:pt idx="3">
                  <c:v>0.81260089586906969</c:v>
                </c:pt>
              </c:numCache>
            </c:numRef>
          </c:val>
        </c:ser>
        <c:ser>
          <c:idx val="1"/>
          <c:order val="1"/>
          <c:tx>
            <c:strRef>
              <c:f>'Growth, Modal Shift, InfraCosts'!$Q$22</c:f>
              <c:strCache>
                <c:ptCount val="1"/>
                <c:pt idx="0">
                  <c:v>Public transport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InfraCosts'!$R$22:$U$22</c:f>
              <c:numCache>
                <c:formatCode>0.0%</c:formatCode>
                <c:ptCount val="4"/>
                <c:pt idx="0">
                  <c:v>0.23925090855533404</c:v>
                </c:pt>
                <c:pt idx="1">
                  <c:v>0.20832240209529773</c:v>
                </c:pt>
                <c:pt idx="2">
                  <c:v>0.18633199698647351</c:v>
                </c:pt>
                <c:pt idx="3">
                  <c:v>0.16076087195908945</c:v>
                </c:pt>
              </c:numCache>
            </c:numRef>
          </c:val>
        </c:ser>
        <c:ser>
          <c:idx val="2"/>
          <c:order val="2"/>
          <c:tx>
            <c:strRef>
              <c:f>'Growth, Modal Shift, InfraCosts'!$Q$23</c:f>
              <c:strCache>
                <c:ptCount val="1"/>
                <c:pt idx="0">
                  <c:v>Bikes and walking</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InfraCosts'!$R$23:$U$23</c:f>
              <c:numCache>
                <c:formatCode>0.0%</c:formatCode>
                <c:ptCount val="4"/>
                <c:pt idx="0">
                  <c:v>4.4902988358328379E-2</c:v>
                </c:pt>
                <c:pt idx="1">
                  <c:v>3.7994797580796456E-2</c:v>
                </c:pt>
                <c:pt idx="2">
                  <c:v>3.1779638509825729E-2</c:v>
                </c:pt>
                <c:pt idx="3">
                  <c:v>2.6638232171841109E-2</c:v>
                </c:pt>
              </c:numCache>
            </c:numRef>
          </c:val>
        </c:ser>
        <c:dLbls>
          <c:showLegendKey val="0"/>
          <c:showVal val="0"/>
          <c:showCatName val="0"/>
          <c:showSerName val="0"/>
          <c:showPercent val="0"/>
          <c:showBubbleSize val="0"/>
        </c:dLbls>
        <c:gapWidth val="150"/>
        <c:overlap val="100"/>
        <c:axId val="117390592"/>
        <c:axId val="117389808"/>
      </c:barChart>
      <c:catAx>
        <c:axId val="117390592"/>
        <c:scaling>
          <c:orientation val="minMax"/>
        </c:scaling>
        <c:delete val="0"/>
        <c:axPos val="b"/>
        <c:numFmt formatCode="0" sourceLinked="1"/>
        <c:majorTickMark val="out"/>
        <c:minorTickMark val="none"/>
        <c:tickLblPos val="nextTo"/>
        <c:crossAx val="117389808"/>
        <c:crosses val="autoZero"/>
        <c:auto val="1"/>
        <c:lblAlgn val="ctr"/>
        <c:lblOffset val="100"/>
        <c:noMultiLvlLbl val="0"/>
      </c:catAx>
      <c:valAx>
        <c:axId val="117389808"/>
        <c:scaling>
          <c:orientation val="minMax"/>
        </c:scaling>
        <c:delete val="0"/>
        <c:axPos val="l"/>
        <c:majorGridlines/>
        <c:numFmt formatCode="0%" sourceLinked="1"/>
        <c:majorTickMark val="out"/>
        <c:minorTickMark val="none"/>
        <c:tickLblPos val="nextTo"/>
        <c:crossAx val="117390592"/>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Passenger market</a:t>
            </a:r>
            <a:r>
              <a:rPr lang="da-DK" baseline="0"/>
              <a:t> shares, pkm (incl. aviation and sea)</a:t>
            </a:r>
            <a:endParaRPr lang="da-DK"/>
          </a:p>
        </c:rich>
      </c:tx>
      <c:overlay val="0"/>
    </c:title>
    <c:autoTitleDeleted val="0"/>
    <c:plotArea>
      <c:layout/>
      <c:barChart>
        <c:barDir val="col"/>
        <c:grouping val="percentStacked"/>
        <c:varyColors val="0"/>
        <c:ser>
          <c:idx val="0"/>
          <c:order val="0"/>
          <c:tx>
            <c:strRef>
              <c:f>'Growth, Modal Shift, InfraCosts'!$Q$25</c:f>
              <c:strCache>
                <c:ptCount val="1"/>
                <c:pt idx="0">
                  <c:v>Vehilces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InfraCosts'!$R$25:$U$25</c:f>
              <c:numCache>
                <c:formatCode>0.0%</c:formatCode>
                <c:ptCount val="4"/>
                <c:pt idx="0">
                  <c:v>0.58064316245344827</c:v>
                </c:pt>
                <c:pt idx="1">
                  <c:v>0.59345034062822333</c:v>
                </c:pt>
                <c:pt idx="2">
                  <c:v>0.60118929373034991</c:v>
                </c:pt>
                <c:pt idx="3">
                  <c:v>0.60823318967028084</c:v>
                </c:pt>
              </c:numCache>
            </c:numRef>
          </c:val>
        </c:ser>
        <c:ser>
          <c:idx val="1"/>
          <c:order val="1"/>
          <c:tx>
            <c:strRef>
              <c:f>'Growth, Modal Shift, InfraCosts'!$Q$26</c:f>
              <c:strCache>
                <c:ptCount val="1"/>
                <c:pt idx="0">
                  <c:v>Public transport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InfraCosts'!$R$26:$U$26</c:f>
              <c:numCache>
                <c:formatCode>0.0%</c:formatCode>
                <c:ptCount val="4"/>
                <c:pt idx="0">
                  <c:v>0.19406322611031235</c:v>
                </c:pt>
                <c:pt idx="1">
                  <c:v>0.16403319862256752</c:v>
                </c:pt>
                <c:pt idx="2">
                  <c:v>0.14326955963690324</c:v>
                </c:pt>
                <c:pt idx="3">
                  <c:v>0.12032979341141091</c:v>
                </c:pt>
              </c:numCache>
            </c:numRef>
          </c:val>
        </c:ser>
        <c:ser>
          <c:idx val="2"/>
          <c:order val="2"/>
          <c:tx>
            <c:strRef>
              <c:f>'Growth, Modal Shift, InfraCosts'!$Q$27</c:f>
              <c:strCache>
                <c:ptCount val="1"/>
                <c:pt idx="0">
                  <c:v>Bikes and walking</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InfraCosts'!$R$27:$U$27</c:f>
              <c:numCache>
                <c:formatCode>0.0%</c:formatCode>
                <c:ptCount val="4"/>
                <c:pt idx="0">
                  <c:v>3.6422092753706815E-2</c:v>
                </c:pt>
                <c:pt idx="1">
                  <c:v>2.9917129005376953E-2</c:v>
                </c:pt>
                <c:pt idx="2">
                  <c:v>2.4435174250041585E-2</c:v>
                </c:pt>
                <c:pt idx="3">
                  <c:v>1.993876330117534E-2</c:v>
                </c:pt>
              </c:numCache>
            </c:numRef>
          </c:val>
        </c:ser>
        <c:ser>
          <c:idx val="3"/>
          <c:order val="3"/>
          <c:tx>
            <c:strRef>
              <c:f>'Growth, Modal Shift, InfraCosts'!$Q$28</c:f>
              <c:strCache>
                <c:ptCount val="1"/>
                <c:pt idx="0">
                  <c:v>Aviation </c:v>
                </c:pt>
              </c:strCache>
            </c:strRef>
          </c:tx>
          <c:invertIfNegative val="0"/>
          <c:cat>
            <c:numRef>
              <c:f>'Growth, Modal Shift, InfraCosts'!$R$20:$U$20</c:f>
              <c:numCache>
                <c:formatCode>0</c:formatCode>
                <c:ptCount val="4"/>
                <c:pt idx="0">
                  <c:v>2010</c:v>
                </c:pt>
                <c:pt idx="1">
                  <c:v>2020</c:v>
                </c:pt>
                <c:pt idx="2">
                  <c:v>2030</c:v>
                </c:pt>
                <c:pt idx="3">
                  <c:v>2050</c:v>
                </c:pt>
              </c:numCache>
            </c:numRef>
          </c:cat>
          <c:val>
            <c:numRef>
              <c:f>'Growth, Modal Shift, InfraCosts'!$R$28:$U$28</c:f>
              <c:numCache>
                <c:formatCode>0.0%</c:formatCode>
                <c:ptCount val="4"/>
                <c:pt idx="0">
                  <c:v>0.18887151868253255</c:v>
                </c:pt>
                <c:pt idx="1">
                  <c:v>0.21259933174383239</c:v>
                </c:pt>
                <c:pt idx="2">
                  <c:v>0.23110597238270539</c:v>
                </c:pt>
                <c:pt idx="3">
                  <c:v>0.25149825361713302</c:v>
                </c:pt>
              </c:numCache>
            </c:numRef>
          </c:val>
        </c:ser>
        <c:dLbls>
          <c:showLegendKey val="0"/>
          <c:showVal val="0"/>
          <c:showCatName val="0"/>
          <c:showSerName val="0"/>
          <c:showPercent val="0"/>
          <c:showBubbleSize val="0"/>
        </c:dLbls>
        <c:gapWidth val="150"/>
        <c:overlap val="100"/>
        <c:axId val="117388632"/>
        <c:axId val="117381184"/>
      </c:barChart>
      <c:catAx>
        <c:axId val="117388632"/>
        <c:scaling>
          <c:orientation val="minMax"/>
        </c:scaling>
        <c:delete val="0"/>
        <c:axPos val="b"/>
        <c:numFmt formatCode="0" sourceLinked="1"/>
        <c:majorTickMark val="out"/>
        <c:minorTickMark val="none"/>
        <c:tickLblPos val="nextTo"/>
        <c:crossAx val="117381184"/>
        <c:crosses val="autoZero"/>
        <c:auto val="1"/>
        <c:lblAlgn val="ctr"/>
        <c:lblOffset val="100"/>
        <c:noMultiLvlLbl val="0"/>
      </c:catAx>
      <c:valAx>
        <c:axId val="117381184"/>
        <c:scaling>
          <c:orientation val="minMax"/>
        </c:scaling>
        <c:delete val="0"/>
        <c:axPos val="l"/>
        <c:majorGridlines/>
        <c:numFmt formatCode="0%" sourceLinked="1"/>
        <c:majorTickMark val="out"/>
        <c:minorTickMark val="none"/>
        <c:tickLblPos val="nextTo"/>
        <c:crossAx val="117388632"/>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Passenger transport, pkm</a:t>
            </a:r>
          </a:p>
        </c:rich>
      </c:tx>
      <c:overlay val="0"/>
    </c:title>
    <c:autoTitleDeleted val="0"/>
    <c:plotArea>
      <c:layout/>
      <c:barChart>
        <c:barDir val="col"/>
        <c:grouping val="stacked"/>
        <c:varyColors val="0"/>
        <c:ser>
          <c:idx val="0"/>
          <c:order val="0"/>
          <c:tx>
            <c:strRef>
              <c:f>'Growth, Modal Shift, InfraCosts'!$Q$36</c:f>
              <c:strCache>
                <c:ptCount val="1"/>
                <c:pt idx="0">
                  <c:v>Vehilces </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InfraCosts'!$R$36:$U$36</c:f>
              <c:numCache>
                <c:formatCode>0</c:formatCode>
                <c:ptCount val="4"/>
                <c:pt idx="0">
                  <c:v>51784.948215000004</c:v>
                </c:pt>
                <c:pt idx="1">
                  <c:v>64428.817973931888</c:v>
                </c:pt>
                <c:pt idx="2">
                  <c:v>79911.906492251175</c:v>
                </c:pt>
                <c:pt idx="3">
                  <c:v>99080.363550342168</c:v>
                </c:pt>
              </c:numCache>
            </c:numRef>
          </c:val>
        </c:ser>
        <c:ser>
          <c:idx val="1"/>
          <c:order val="1"/>
          <c:tx>
            <c:strRef>
              <c:f>'Growth, Modal Shift, InfraCosts'!$Q$37</c:f>
              <c:strCache>
                <c:ptCount val="1"/>
                <c:pt idx="0">
                  <c:v>Public transport </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InfraCosts'!$R$37:$U$37</c:f>
              <c:numCache>
                <c:formatCode>0</c:formatCode>
                <c:ptCount val="4"/>
                <c:pt idx="0">
                  <c:v>17307.625</c:v>
                </c:pt>
                <c:pt idx="1">
                  <c:v>17808.507927634681</c:v>
                </c:pt>
                <c:pt idx="2">
                  <c:v>19043.824918853901</c:v>
                </c:pt>
                <c:pt idx="3">
                  <c:v>19601.560519252773</c:v>
                </c:pt>
              </c:numCache>
            </c:numRef>
          </c:val>
        </c:ser>
        <c:ser>
          <c:idx val="2"/>
          <c:order val="2"/>
          <c:tx>
            <c:strRef>
              <c:f>'Growth, Modal Shift, InfraCosts'!$Q$38</c:f>
              <c:strCache>
                <c:ptCount val="1"/>
                <c:pt idx="0">
                  <c:v>Bikes and walking</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InfraCosts'!$R$38:$U$38</c:f>
              <c:numCache>
                <c:formatCode>0</c:formatCode>
                <c:ptCount val="4"/>
                <c:pt idx="0">
                  <c:v>3248.3223933319796</c:v>
                </c:pt>
                <c:pt idx="1">
                  <c:v>3247.9975610926463</c:v>
                </c:pt>
                <c:pt idx="2">
                  <c:v>3247.9975610926463</c:v>
                </c:pt>
                <c:pt idx="3">
                  <c:v>3247.9975610926463</c:v>
                </c:pt>
              </c:numCache>
            </c:numRef>
          </c:val>
        </c:ser>
        <c:ser>
          <c:idx val="3"/>
          <c:order val="3"/>
          <c:tx>
            <c:strRef>
              <c:f>'Growth, Modal Shift, InfraCosts'!$Q$39</c:f>
              <c:strCache>
                <c:ptCount val="1"/>
                <c:pt idx="0">
                  <c:v>Aviation </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InfraCosts'!$R$39:$U$39</c:f>
              <c:numCache>
                <c:formatCode>0</c:formatCode>
                <c:ptCount val="4"/>
                <c:pt idx="0">
                  <c:v>16844.599999999999</c:v>
                </c:pt>
                <c:pt idx="1">
                  <c:v>23081.162329105435</c:v>
                </c:pt>
                <c:pt idx="2">
                  <c:v>30719.307624814424</c:v>
                </c:pt>
                <c:pt idx="3">
                  <c:v>40968.725192668076</c:v>
                </c:pt>
              </c:numCache>
            </c:numRef>
          </c:val>
        </c:ser>
        <c:dLbls>
          <c:showLegendKey val="0"/>
          <c:showVal val="0"/>
          <c:showCatName val="0"/>
          <c:showSerName val="0"/>
          <c:showPercent val="0"/>
          <c:showBubbleSize val="0"/>
        </c:dLbls>
        <c:gapWidth val="150"/>
        <c:overlap val="100"/>
        <c:axId val="117389416"/>
        <c:axId val="117390200"/>
      </c:barChart>
      <c:catAx>
        <c:axId val="117389416"/>
        <c:scaling>
          <c:orientation val="minMax"/>
        </c:scaling>
        <c:delete val="0"/>
        <c:axPos val="b"/>
        <c:numFmt formatCode="0" sourceLinked="1"/>
        <c:majorTickMark val="out"/>
        <c:minorTickMark val="none"/>
        <c:tickLblPos val="nextTo"/>
        <c:crossAx val="117390200"/>
        <c:crosses val="autoZero"/>
        <c:auto val="1"/>
        <c:lblAlgn val="ctr"/>
        <c:lblOffset val="100"/>
        <c:noMultiLvlLbl val="0"/>
      </c:catAx>
      <c:valAx>
        <c:axId val="117390200"/>
        <c:scaling>
          <c:orientation val="minMax"/>
        </c:scaling>
        <c:delete val="0"/>
        <c:axPos val="l"/>
        <c:majorGridlines/>
        <c:numFmt formatCode="#,##0" sourceLinked="0"/>
        <c:majorTickMark val="out"/>
        <c:minorTickMark val="none"/>
        <c:tickLblPos val="nextTo"/>
        <c:crossAx val="117389416"/>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800" b="1" i="0" baseline="0">
                <a:effectLst/>
              </a:rPr>
              <a:t>Freight market shares, tkm (incl. international)</a:t>
            </a:r>
            <a:endParaRPr lang="da-DK">
              <a:effectLst/>
            </a:endParaRPr>
          </a:p>
        </c:rich>
      </c:tx>
      <c:overlay val="0"/>
    </c:title>
    <c:autoTitleDeleted val="0"/>
    <c:plotArea>
      <c:layout/>
      <c:barChart>
        <c:barDir val="col"/>
        <c:grouping val="percentStacked"/>
        <c:varyColors val="0"/>
        <c:ser>
          <c:idx val="0"/>
          <c:order val="0"/>
          <c:tx>
            <c:strRef>
              <c:f>'Growth, Modal Shift, InfraCosts'!$Q$57</c:f>
              <c:strCache>
                <c:ptCount val="1"/>
                <c:pt idx="0">
                  <c:v>Trucks</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InfraCosts'!$R$57:$U$57</c:f>
              <c:numCache>
                <c:formatCode>0.0%</c:formatCode>
                <c:ptCount val="4"/>
                <c:pt idx="0">
                  <c:v>0.22778030692481907</c:v>
                </c:pt>
                <c:pt idx="1">
                  <c:v>0.21743144359455463</c:v>
                </c:pt>
                <c:pt idx="2">
                  <c:v>0.20878471215882494</c:v>
                </c:pt>
                <c:pt idx="3">
                  <c:v>0.20118594001080969</c:v>
                </c:pt>
              </c:numCache>
            </c:numRef>
          </c:val>
        </c:ser>
        <c:ser>
          <c:idx val="1"/>
          <c:order val="1"/>
          <c:tx>
            <c:strRef>
              <c:f>'Growth, Modal Shift, InfraCosts'!$Q$58</c:f>
              <c:strCache>
                <c:ptCount val="1"/>
                <c:pt idx="0">
                  <c:v>Vans</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InfraCosts'!$R$58:$U$58</c:f>
              <c:numCache>
                <c:formatCode>0.0%</c:formatCode>
                <c:ptCount val="4"/>
                <c:pt idx="0">
                  <c:v>4.6783469799920888E-2</c:v>
                </c:pt>
                <c:pt idx="1">
                  <c:v>4.7182653982212483E-2</c:v>
                </c:pt>
                <c:pt idx="2">
                  <c:v>4.7447754391101812E-2</c:v>
                </c:pt>
                <c:pt idx="3">
                  <c:v>4.7618817961290506E-2</c:v>
                </c:pt>
              </c:numCache>
            </c:numRef>
          </c:val>
        </c:ser>
        <c:ser>
          <c:idx val="2"/>
          <c:order val="2"/>
          <c:tx>
            <c:strRef>
              <c:f>'Growth, Modal Shift, InfraCosts'!$Q$59</c:f>
              <c:strCache>
                <c:ptCount val="1"/>
                <c:pt idx="0">
                  <c:v>Rail</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InfraCosts'!$R$59:$U$59</c:f>
              <c:numCache>
                <c:formatCode>0.0%</c:formatCode>
                <c:ptCount val="4"/>
                <c:pt idx="0">
                  <c:v>6.2854655592153048E-3</c:v>
                </c:pt>
                <c:pt idx="1">
                  <c:v>6.0024341650923097E-3</c:v>
                </c:pt>
                <c:pt idx="2">
                  <c:v>5.7727393772658226E-3</c:v>
                </c:pt>
                <c:pt idx="3">
                  <c:v>5.5892183579839229E-3</c:v>
                </c:pt>
              </c:numCache>
            </c:numRef>
          </c:val>
        </c:ser>
        <c:ser>
          <c:idx val="3"/>
          <c:order val="3"/>
          <c:tx>
            <c:strRef>
              <c:f>'Growth, Modal Shift, InfraCosts'!$Q$60</c:f>
              <c:strCache>
                <c:ptCount val="1"/>
                <c:pt idx="0">
                  <c:v>Sea</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InfraCosts'!$R$60:$U$60</c:f>
              <c:numCache>
                <c:formatCode>0.0%</c:formatCode>
                <c:ptCount val="4"/>
                <c:pt idx="0">
                  <c:v>0.71235660769917741</c:v>
                </c:pt>
                <c:pt idx="1">
                  <c:v>0.7224666489793341</c:v>
                </c:pt>
                <c:pt idx="2">
                  <c:v>0.73097289137094845</c:v>
                </c:pt>
                <c:pt idx="3">
                  <c:v>0.7384905071003568</c:v>
                </c:pt>
              </c:numCache>
            </c:numRef>
          </c:val>
        </c:ser>
        <c:ser>
          <c:idx val="4"/>
          <c:order val="4"/>
          <c:tx>
            <c:strRef>
              <c:f>'Growth, Modal Shift, InfraCosts'!$Q$61</c:f>
              <c:strCache>
                <c:ptCount val="1"/>
                <c:pt idx="0">
                  <c:v>Air</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InfraCosts'!$R$61:$U$61</c:f>
              <c:numCache>
                <c:formatCode>0.0%</c:formatCode>
                <c:ptCount val="4"/>
                <c:pt idx="0">
                  <c:v>6.7941500168672477E-3</c:v>
                </c:pt>
                <c:pt idx="1">
                  <c:v>6.9168192788064634E-3</c:v>
                </c:pt>
                <c:pt idx="2">
                  <c:v>7.0219027018591264E-3</c:v>
                </c:pt>
                <c:pt idx="3">
                  <c:v>7.1155165695591617E-3</c:v>
                </c:pt>
              </c:numCache>
            </c:numRef>
          </c:val>
        </c:ser>
        <c:dLbls>
          <c:showLegendKey val="0"/>
          <c:showVal val="0"/>
          <c:showCatName val="0"/>
          <c:showSerName val="0"/>
          <c:showPercent val="0"/>
          <c:showBubbleSize val="0"/>
        </c:dLbls>
        <c:gapWidth val="150"/>
        <c:overlap val="100"/>
        <c:axId val="117390984"/>
        <c:axId val="117381576"/>
      </c:barChart>
      <c:catAx>
        <c:axId val="117390984"/>
        <c:scaling>
          <c:orientation val="minMax"/>
        </c:scaling>
        <c:delete val="0"/>
        <c:axPos val="b"/>
        <c:numFmt formatCode="0" sourceLinked="1"/>
        <c:majorTickMark val="out"/>
        <c:minorTickMark val="none"/>
        <c:tickLblPos val="nextTo"/>
        <c:crossAx val="117381576"/>
        <c:crosses val="autoZero"/>
        <c:auto val="1"/>
        <c:lblAlgn val="ctr"/>
        <c:lblOffset val="100"/>
        <c:noMultiLvlLbl val="0"/>
      </c:catAx>
      <c:valAx>
        <c:axId val="117381576"/>
        <c:scaling>
          <c:orientation val="minMax"/>
        </c:scaling>
        <c:delete val="0"/>
        <c:axPos val="l"/>
        <c:majorGridlines/>
        <c:numFmt formatCode="0%" sourceLinked="1"/>
        <c:majorTickMark val="out"/>
        <c:minorTickMark val="none"/>
        <c:tickLblPos val="nextTo"/>
        <c:crossAx val="117390984"/>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sz="1800" b="1" i="0" baseline="0">
                <a:effectLst/>
              </a:rPr>
              <a:t>Freight market shares, tkm (excl. international)</a:t>
            </a:r>
            <a:endParaRPr lang="da-DK">
              <a:effectLst/>
            </a:endParaRPr>
          </a:p>
        </c:rich>
      </c:tx>
      <c:overlay val="0"/>
    </c:title>
    <c:autoTitleDeleted val="0"/>
    <c:plotArea>
      <c:layout/>
      <c:barChart>
        <c:barDir val="col"/>
        <c:grouping val="percentStacked"/>
        <c:varyColors val="0"/>
        <c:ser>
          <c:idx val="0"/>
          <c:order val="0"/>
          <c:tx>
            <c:strRef>
              <c:f>'Growth, Modal Shift, InfraCosts'!$Q$63</c:f>
              <c:strCache>
                <c:ptCount val="1"/>
                <c:pt idx="0">
                  <c:v>Trucks</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InfraCosts'!$R$63:$U$63</c:f>
              <c:numCache>
                <c:formatCode>0.0%</c:formatCode>
                <c:ptCount val="4"/>
                <c:pt idx="0">
                  <c:v>0.61363869356084189</c:v>
                </c:pt>
                <c:pt idx="1">
                  <c:v>0.624145678846179</c:v>
                </c:pt>
                <c:pt idx="2">
                  <c:v>0.63355989954150427</c:v>
                </c:pt>
                <c:pt idx="3">
                  <c:v>0.64216521868043308</c:v>
                </c:pt>
              </c:numCache>
            </c:numRef>
          </c:val>
        </c:ser>
        <c:ser>
          <c:idx val="1"/>
          <c:order val="1"/>
          <c:tx>
            <c:strRef>
              <c:f>'Growth, Modal Shift, InfraCosts'!$Q$64</c:f>
              <c:strCache>
                <c:ptCount val="1"/>
                <c:pt idx="0">
                  <c:v>Vans</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InfraCosts'!$R$64:$U$64</c:f>
              <c:numCache>
                <c:formatCode>0.0%</c:formatCode>
                <c:ptCount val="4"/>
                <c:pt idx="0">
                  <c:v>0.2488682827573144</c:v>
                </c:pt>
                <c:pt idx="1">
                  <c:v>0.25306731558900758</c:v>
                </c:pt>
                <c:pt idx="2">
                  <c:v>0.25690687692935377</c:v>
                </c:pt>
                <c:pt idx="3">
                  <c:v>0.26034167460007307</c:v>
                </c:pt>
              </c:numCache>
            </c:numRef>
          </c:val>
        </c:ser>
        <c:ser>
          <c:idx val="2"/>
          <c:order val="2"/>
          <c:tx>
            <c:strRef>
              <c:f>'Growth, Modal Shift, InfraCosts'!$Q$65</c:f>
              <c:strCache>
                <c:ptCount val="1"/>
                <c:pt idx="0">
                  <c:v>Rail</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InfraCosts'!$R$65:$U$65</c:f>
              <c:numCache>
                <c:formatCode>0.0%</c:formatCode>
                <c:ptCount val="4"/>
                <c:pt idx="0">
                  <c:v>1.0245532656346975E-2</c:v>
                </c:pt>
                <c:pt idx="1">
                  <c:v>8.3809276430226905E-3</c:v>
                </c:pt>
                <c:pt idx="2">
                  <c:v>6.844201774872786E-3</c:v>
                </c:pt>
                <c:pt idx="3">
                  <c:v>5.5727255753667184E-3</c:v>
                </c:pt>
              </c:numCache>
            </c:numRef>
          </c:val>
        </c:ser>
        <c:ser>
          <c:idx val="3"/>
          <c:order val="3"/>
          <c:tx>
            <c:strRef>
              <c:f>'Growth, Modal Shift, InfraCosts'!$Q$66</c:f>
              <c:strCache>
                <c:ptCount val="1"/>
                <c:pt idx="0">
                  <c:v>Sea</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InfraCosts'!$R$66:$U$66</c:f>
              <c:numCache>
                <c:formatCode>0.0%</c:formatCode>
                <c:ptCount val="4"/>
                <c:pt idx="0">
                  <c:v>0.1271795760275885</c:v>
                </c:pt>
                <c:pt idx="1">
                  <c:v>0.11435052291040849</c:v>
                </c:pt>
                <c:pt idx="2">
                  <c:v>0.1026436533029839</c:v>
                </c:pt>
                <c:pt idx="3">
                  <c:v>9.1883440981181203E-2</c:v>
                </c:pt>
              </c:numCache>
            </c:numRef>
          </c:val>
        </c:ser>
        <c:ser>
          <c:idx val="4"/>
          <c:order val="4"/>
          <c:tx>
            <c:strRef>
              <c:f>'Growth, Modal Shift, InfraCosts'!$Q$67</c:f>
              <c:strCache>
                <c:ptCount val="1"/>
                <c:pt idx="0">
                  <c:v>Air</c:v>
                </c:pt>
              </c:strCache>
            </c:strRef>
          </c:tx>
          <c:invertIfNegative val="0"/>
          <c:cat>
            <c:numRef>
              <c:f>'Growth, Modal Shift, InfraCosts'!$R$56:$U$56</c:f>
              <c:numCache>
                <c:formatCode>0</c:formatCode>
                <c:ptCount val="4"/>
                <c:pt idx="0">
                  <c:v>2010</c:v>
                </c:pt>
                <c:pt idx="1">
                  <c:v>2020</c:v>
                </c:pt>
                <c:pt idx="2">
                  <c:v>2030</c:v>
                </c:pt>
                <c:pt idx="3">
                  <c:v>2050</c:v>
                </c:pt>
              </c:numCache>
            </c:numRef>
          </c:cat>
          <c:val>
            <c:numRef>
              <c:f>'Growth, Modal Shift, InfraCosts'!$R$67:$U$67</c:f>
              <c:numCache>
                <c:formatCode>0.0%</c:formatCode>
                <c:ptCount val="4"/>
                <c:pt idx="0">
                  <c:v>6.7914997907641327E-5</c:v>
                </c:pt>
                <c:pt idx="1">
                  <c:v>5.5555011382192327E-5</c:v>
                </c:pt>
                <c:pt idx="2">
                  <c:v>4.5368451286132782E-5</c:v>
                </c:pt>
                <c:pt idx="3">
                  <c:v>3.6940162945694354E-5</c:v>
                </c:pt>
              </c:numCache>
            </c:numRef>
          </c:val>
        </c:ser>
        <c:dLbls>
          <c:showLegendKey val="0"/>
          <c:showVal val="0"/>
          <c:showCatName val="0"/>
          <c:showSerName val="0"/>
          <c:showPercent val="0"/>
          <c:showBubbleSize val="0"/>
        </c:dLbls>
        <c:gapWidth val="150"/>
        <c:overlap val="100"/>
        <c:axId val="117382360"/>
        <c:axId val="117384712"/>
      </c:barChart>
      <c:catAx>
        <c:axId val="117382360"/>
        <c:scaling>
          <c:orientation val="minMax"/>
        </c:scaling>
        <c:delete val="0"/>
        <c:axPos val="b"/>
        <c:numFmt formatCode="0" sourceLinked="1"/>
        <c:majorTickMark val="out"/>
        <c:minorTickMark val="none"/>
        <c:tickLblPos val="nextTo"/>
        <c:crossAx val="117384712"/>
        <c:crosses val="autoZero"/>
        <c:auto val="1"/>
        <c:lblAlgn val="ctr"/>
        <c:lblOffset val="100"/>
        <c:noMultiLvlLbl val="0"/>
      </c:catAx>
      <c:valAx>
        <c:axId val="117384712"/>
        <c:scaling>
          <c:orientation val="minMax"/>
        </c:scaling>
        <c:delete val="0"/>
        <c:axPos val="l"/>
        <c:majorGridlines/>
        <c:numFmt formatCode="0%" sourceLinked="1"/>
        <c:majorTickMark val="out"/>
        <c:minorTickMark val="none"/>
        <c:tickLblPos val="nextTo"/>
        <c:crossAx val="117382360"/>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transport, tkm </a:t>
            </a:r>
          </a:p>
        </c:rich>
      </c:tx>
      <c:overlay val="0"/>
    </c:title>
    <c:autoTitleDeleted val="0"/>
    <c:plotArea>
      <c:layout/>
      <c:barChart>
        <c:barDir val="col"/>
        <c:grouping val="stacked"/>
        <c:varyColors val="0"/>
        <c:ser>
          <c:idx val="0"/>
          <c:order val="0"/>
          <c:tx>
            <c:strRef>
              <c:f>'Growth, Modal Shift, InfraCosts'!$Q$70</c:f>
              <c:strCache>
                <c:ptCount val="1"/>
                <c:pt idx="0">
                  <c:v>Trucks</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InfraCosts'!$R$70:$U$70</c:f>
              <c:numCache>
                <c:formatCode>0</c:formatCode>
                <c:ptCount val="4"/>
                <c:pt idx="0">
                  <c:v>19750.369499999997</c:v>
                </c:pt>
                <c:pt idx="1">
                  <c:v>23238.089587674425</c:v>
                </c:pt>
                <c:pt idx="2">
                  <c:v>27583.694138087914</c:v>
                </c:pt>
                <c:pt idx="3">
                  <c:v>32961.845841226081</c:v>
                </c:pt>
              </c:numCache>
            </c:numRef>
          </c:val>
        </c:ser>
        <c:ser>
          <c:idx val="1"/>
          <c:order val="1"/>
          <c:tx>
            <c:strRef>
              <c:f>'Growth, Modal Shift, InfraCosts'!$Q$71</c:f>
              <c:strCache>
                <c:ptCount val="1"/>
                <c:pt idx="0">
                  <c:v>Vans</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InfraCosts'!$R$71:$U$71</c:f>
              <c:numCache>
                <c:formatCode>0</c:formatCode>
                <c:ptCount val="4"/>
                <c:pt idx="0">
                  <c:v>4056.5</c:v>
                </c:pt>
                <c:pt idx="1">
                  <c:v>5042.6687239745506</c:v>
                </c:pt>
                <c:pt idx="2">
                  <c:v>6268.5832268584054</c:v>
                </c:pt>
                <c:pt idx="3">
                  <c:v>7801.7585955416707</c:v>
                </c:pt>
              </c:numCache>
            </c:numRef>
          </c:val>
        </c:ser>
        <c:ser>
          <c:idx val="2"/>
          <c:order val="2"/>
          <c:tx>
            <c:strRef>
              <c:f>'Growth, Modal Shift, InfraCosts'!$Q$72</c:f>
              <c:strCache>
                <c:ptCount val="1"/>
                <c:pt idx="0">
                  <c:v>Rail</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InfraCosts'!$R$72:$U$72</c:f>
              <c:numCache>
                <c:formatCode>0</c:formatCode>
                <c:ptCount val="4"/>
                <c:pt idx="0">
                  <c:v>545</c:v>
                </c:pt>
                <c:pt idx="1">
                  <c:v>641.51302390573892</c:v>
                </c:pt>
                <c:pt idx="2">
                  <c:v>762.66828004277352</c:v>
                </c:pt>
                <c:pt idx="3">
                  <c:v>915.72479607132652</c:v>
                </c:pt>
              </c:numCache>
            </c:numRef>
          </c:val>
        </c:ser>
        <c:ser>
          <c:idx val="3"/>
          <c:order val="3"/>
          <c:tx>
            <c:strRef>
              <c:f>'Growth, Modal Shift, InfraCosts'!$Q$73</c:f>
              <c:strCache>
                <c:ptCount val="1"/>
                <c:pt idx="0">
                  <c:v>Sea</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InfraCosts'!$R$73:$U$73</c:f>
              <c:numCache>
                <c:formatCode>0</c:formatCode>
                <c:ptCount val="4"/>
                <c:pt idx="0">
                  <c:v>61767</c:v>
                </c:pt>
                <c:pt idx="1">
                  <c:v>77213.968851693528</c:v>
                </c:pt>
                <c:pt idx="2">
                  <c:v>96572.84027324678</c:v>
                </c:pt>
                <c:pt idx="3">
                  <c:v>120992.60141609768</c:v>
                </c:pt>
              </c:numCache>
            </c:numRef>
          </c:val>
        </c:ser>
        <c:ser>
          <c:idx val="4"/>
          <c:order val="4"/>
          <c:tx>
            <c:strRef>
              <c:f>'Growth, Modal Shift, InfraCosts'!$Q$74</c:f>
              <c:strCache>
                <c:ptCount val="1"/>
                <c:pt idx="0">
                  <c:v>Air</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InfraCosts'!$R$74:$U$74</c:f>
              <c:numCache>
                <c:formatCode>0</c:formatCode>
                <c:ptCount val="4"/>
                <c:pt idx="0">
                  <c:v>589.10699999999997</c:v>
                </c:pt>
                <c:pt idx="1">
                  <c:v>739.23837052003842</c:v>
                </c:pt>
                <c:pt idx="2">
                  <c:v>927.70210228875885</c:v>
                </c:pt>
                <c:pt idx="3">
                  <c:v>1165.7900161109524</c:v>
                </c:pt>
              </c:numCache>
            </c:numRef>
          </c:val>
        </c:ser>
        <c:dLbls>
          <c:showLegendKey val="0"/>
          <c:showVal val="0"/>
          <c:showCatName val="0"/>
          <c:showSerName val="0"/>
          <c:showPercent val="0"/>
          <c:showBubbleSize val="0"/>
        </c:dLbls>
        <c:gapWidth val="150"/>
        <c:overlap val="100"/>
        <c:axId val="117382752"/>
        <c:axId val="117394904"/>
      </c:barChart>
      <c:catAx>
        <c:axId val="117382752"/>
        <c:scaling>
          <c:orientation val="minMax"/>
        </c:scaling>
        <c:delete val="0"/>
        <c:axPos val="b"/>
        <c:numFmt formatCode="0" sourceLinked="1"/>
        <c:majorTickMark val="out"/>
        <c:minorTickMark val="none"/>
        <c:tickLblPos val="nextTo"/>
        <c:crossAx val="117394904"/>
        <c:crosses val="autoZero"/>
        <c:auto val="1"/>
        <c:lblAlgn val="ctr"/>
        <c:lblOffset val="100"/>
        <c:noMultiLvlLbl val="0"/>
      </c:catAx>
      <c:valAx>
        <c:axId val="117394904"/>
        <c:scaling>
          <c:orientation val="minMax"/>
        </c:scaling>
        <c:delete val="0"/>
        <c:axPos val="l"/>
        <c:majorGridlines/>
        <c:numFmt formatCode="#,##0" sourceLinked="0"/>
        <c:majorTickMark val="out"/>
        <c:minorTickMark val="none"/>
        <c:tickLblPos val="nextTo"/>
        <c:crossAx val="117382752"/>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transport, tkm (excl. international)</a:t>
            </a:r>
          </a:p>
        </c:rich>
      </c:tx>
      <c:overlay val="0"/>
    </c:title>
    <c:autoTitleDeleted val="0"/>
    <c:plotArea>
      <c:layout/>
      <c:barChart>
        <c:barDir val="col"/>
        <c:grouping val="stacked"/>
        <c:varyColors val="0"/>
        <c:ser>
          <c:idx val="0"/>
          <c:order val="0"/>
          <c:tx>
            <c:strRef>
              <c:f>'Growth, Modal Shift, InfraCosts'!$Q$76</c:f>
              <c:strCache>
                <c:ptCount val="1"/>
                <c:pt idx="0">
                  <c:v>Trucks</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InfraCosts'!$R$76:$U$76</c:f>
              <c:numCache>
                <c:formatCode>0</c:formatCode>
                <c:ptCount val="4"/>
                <c:pt idx="0">
                  <c:v>10002.180000000008</c:v>
                </c:pt>
                <c:pt idx="1">
                  <c:v>12436.848617120282</c:v>
                </c:pt>
                <c:pt idx="2">
                  <c:v>15458.998244597751</c:v>
                </c:pt>
                <c:pt idx="3">
                  <c:v>19244.010864930344</c:v>
                </c:pt>
              </c:numCache>
            </c:numRef>
          </c:val>
        </c:ser>
        <c:ser>
          <c:idx val="1"/>
          <c:order val="1"/>
          <c:tx>
            <c:strRef>
              <c:f>'Growth, Modal Shift, InfraCosts'!$Q$77</c:f>
              <c:strCache>
                <c:ptCount val="1"/>
                <c:pt idx="0">
                  <c:v>Vans</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InfraCosts'!$R$77:$U$77</c:f>
              <c:numCache>
                <c:formatCode>0</c:formatCode>
                <c:ptCount val="4"/>
                <c:pt idx="0">
                  <c:v>4056.5</c:v>
                </c:pt>
                <c:pt idx="1">
                  <c:v>5042.6687239745506</c:v>
                </c:pt>
                <c:pt idx="2">
                  <c:v>6268.5832268584054</c:v>
                </c:pt>
                <c:pt idx="3">
                  <c:v>7801.7585955416707</c:v>
                </c:pt>
              </c:numCache>
            </c:numRef>
          </c:val>
        </c:ser>
        <c:ser>
          <c:idx val="2"/>
          <c:order val="2"/>
          <c:tx>
            <c:strRef>
              <c:f>'Growth, Modal Shift, InfraCosts'!$Q$78</c:f>
              <c:strCache>
                <c:ptCount val="1"/>
                <c:pt idx="0">
                  <c:v>Rail</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InfraCosts'!$R$78:$U$78</c:f>
              <c:numCache>
                <c:formatCode>0</c:formatCode>
                <c:ptCount val="4"/>
                <c:pt idx="0">
                  <c:v>167</c:v>
                </c:pt>
                <c:pt idx="1">
                  <c:v>167</c:v>
                </c:pt>
                <c:pt idx="2">
                  <c:v>167</c:v>
                </c:pt>
                <c:pt idx="3">
                  <c:v>167</c:v>
                </c:pt>
              </c:numCache>
            </c:numRef>
          </c:val>
        </c:ser>
        <c:ser>
          <c:idx val="3"/>
          <c:order val="3"/>
          <c:tx>
            <c:strRef>
              <c:f>'Growth, Modal Shift, InfraCosts'!$Q$79</c:f>
              <c:strCache>
                <c:ptCount val="1"/>
                <c:pt idx="0">
                  <c:v>Sea</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InfraCosts'!$R$79:$U$79</c:f>
              <c:numCache>
                <c:formatCode>0</c:formatCode>
                <c:ptCount val="4"/>
                <c:pt idx="0">
                  <c:v>2073</c:v>
                </c:pt>
                <c:pt idx="1">
                  <c:v>2278.5708383888164</c:v>
                </c:pt>
                <c:pt idx="2">
                  <c:v>2504.5272868094135</c:v>
                </c:pt>
                <c:pt idx="3">
                  <c:v>2753.5062396908893</c:v>
                </c:pt>
              </c:numCache>
            </c:numRef>
          </c:val>
        </c:ser>
        <c:ser>
          <c:idx val="4"/>
          <c:order val="4"/>
          <c:tx>
            <c:strRef>
              <c:f>'Growth, Modal Shift, InfraCosts'!$Q$80</c:f>
              <c:strCache>
                <c:ptCount val="1"/>
                <c:pt idx="0">
                  <c:v>Air</c:v>
                </c:pt>
              </c:strCache>
            </c:strRef>
          </c:tx>
          <c:invertIfNegative val="0"/>
          <c:cat>
            <c:numRef>
              <c:f>'Growth, Modal Shift, InfraCosts'!$R$35:$U$35</c:f>
              <c:numCache>
                <c:formatCode>0</c:formatCode>
                <c:ptCount val="4"/>
                <c:pt idx="0">
                  <c:v>2010</c:v>
                </c:pt>
                <c:pt idx="1">
                  <c:v>2020</c:v>
                </c:pt>
                <c:pt idx="2">
                  <c:v>2030</c:v>
                </c:pt>
                <c:pt idx="3">
                  <c:v>2050</c:v>
                </c:pt>
              </c:numCache>
            </c:numRef>
          </c:cat>
          <c:val>
            <c:numRef>
              <c:f>'Growth, Modal Shift, InfraCosts'!$R$80:$U$80</c:f>
              <c:numCache>
                <c:formatCode>0</c:formatCode>
                <c:ptCount val="4"/>
                <c:pt idx="0">
                  <c:v>1.107</c:v>
                </c:pt>
                <c:pt idx="1">
                  <c:v>1.107</c:v>
                </c:pt>
                <c:pt idx="2">
                  <c:v>1.107</c:v>
                </c:pt>
                <c:pt idx="3">
                  <c:v>1.107</c:v>
                </c:pt>
              </c:numCache>
            </c:numRef>
          </c:val>
        </c:ser>
        <c:dLbls>
          <c:showLegendKey val="0"/>
          <c:showVal val="0"/>
          <c:showCatName val="0"/>
          <c:showSerName val="0"/>
          <c:showPercent val="0"/>
          <c:showBubbleSize val="0"/>
        </c:dLbls>
        <c:gapWidth val="150"/>
        <c:overlap val="100"/>
        <c:axId val="117395688"/>
        <c:axId val="117396080"/>
      </c:barChart>
      <c:catAx>
        <c:axId val="117395688"/>
        <c:scaling>
          <c:orientation val="minMax"/>
        </c:scaling>
        <c:delete val="0"/>
        <c:axPos val="b"/>
        <c:numFmt formatCode="0" sourceLinked="1"/>
        <c:majorTickMark val="out"/>
        <c:minorTickMark val="none"/>
        <c:tickLblPos val="nextTo"/>
        <c:crossAx val="117396080"/>
        <c:crosses val="autoZero"/>
        <c:auto val="1"/>
        <c:lblAlgn val="ctr"/>
        <c:lblOffset val="100"/>
        <c:noMultiLvlLbl val="0"/>
      </c:catAx>
      <c:valAx>
        <c:axId val="117396080"/>
        <c:scaling>
          <c:orientation val="minMax"/>
        </c:scaling>
        <c:delete val="0"/>
        <c:axPos val="l"/>
        <c:majorGridlines/>
        <c:numFmt formatCode="#,##0" sourceLinked="0"/>
        <c:majorTickMark val="out"/>
        <c:minorTickMark val="none"/>
        <c:tickLblPos val="nextTo"/>
        <c:crossAx val="117395688"/>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'Growth, Modal Shift, InfraCosts'!$BK$28</c:f>
              <c:strCache>
                <c:ptCount val="1"/>
                <c:pt idx="0">
                  <c:v>Cars and vans &lt; 2 t</c:v>
                </c:pt>
              </c:strCache>
            </c:strRef>
          </c:tx>
          <c:cat>
            <c:strRef>
              <c:f>'Growth, Modal Shift, InfraCosts'!$BL$27:$BN$27</c:f>
              <c:strCache>
                <c:ptCount val="3"/>
                <c:pt idx="0">
                  <c:v>2010-2020</c:v>
                </c:pt>
                <c:pt idx="1">
                  <c:v>2020-2030</c:v>
                </c:pt>
                <c:pt idx="2">
                  <c:v>2030-2050</c:v>
                </c:pt>
              </c:strCache>
            </c:strRef>
          </c:cat>
          <c:val>
            <c:numRef>
              <c:f>'Growth, Modal Shift, InfraCosts'!$BL$28:$BN$28</c:f>
              <c:numCache>
                <c:formatCode>0.00%</c:formatCode>
                <c:ptCount val="3"/>
                <c:pt idx="0">
                  <c:v>2.2086522833322908E-2</c:v>
                </c:pt>
                <c:pt idx="1">
                  <c:v>2.1769965944761438E-2</c:v>
                </c:pt>
                <c:pt idx="2">
                  <c:v>1.0808313062713237E-2</c:v>
                </c:pt>
              </c:numCache>
            </c:numRef>
          </c:val>
          <c:smooth val="0"/>
        </c:ser>
        <c:ser>
          <c:idx val="1"/>
          <c:order val="1"/>
          <c:tx>
            <c:strRef>
              <c:f>'Growth, Modal Shift, InfraCosts'!$BK$29</c:f>
              <c:strCache>
                <c:ptCount val="1"/>
                <c:pt idx="0">
                  <c:v>Rail</c:v>
                </c:pt>
              </c:strCache>
            </c:strRef>
          </c:tx>
          <c:cat>
            <c:strRef>
              <c:f>'Growth, Modal Shift, InfraCosts'!$BL$27:$BN$27</c:f>
              <c:strCache>
                <c:ptCount val="3"/>
                <c:pt idx="0">
                  <c:v>2010-2020</c:v>
                </c:pt>
                <c:pt idx="1">
                  <c:v>2020-2030</c:v>
                </c:pt>
                <c:pt idx="2">
                  <c:v>2030-2050</c:v>
                </c:pt>
              </c:strCache>
            </c:strRef>
          </c:cat>
          <c:val>
            <c:numRef>
              <c:f>'Growth, Modal Shift, InfraCosts'!$BL$29:$BN$29</c:f>
              <c:numCache>
                <c:formatCode>0.00%</c:formatCode>
                <c:ptCount val="3"/>
                <c:pt idx="0">
                  <c:v>2.4999999999999467E-3</c:v>
                </c:pt>
                <c:pt idx="1">
                  <c:v>1.1506938935049726E-2</c:v>
                </c:pt>
                <c:pt idx="2">
                  <c:v>1.2499999999999734E-3</c:v>
                </c:pt>
              </c:numCache>
            </c:numRef>
          </c:val>
          <c:smooth val="0"/>
        </c:ser>
        <c:ser>
          <c:idx val="2"/>
          <c:order val="2"/>
          <c:tx>
            <c:strRef>
              <c:f>'Growth, Modal Shift, InfraCosts'!$BK$30</c:f>
              <c:strCache>
                <c:ptCount val="1"/>
                <c:pt idx="0">
                  <c:v>Bus</c:v>
                </c:pt>
              </c:strCache>
            </c:strRef>
          </c:tx>
          <c:cat>
            <c:strRef>
              <c:f>'Growth, Modal Shift, InfraCosts'!$BL$27:$BN$27</c:f>
              <c:strCache>
                <c:ptCount val="3"/>
                <c:pt idx="0">
                  <c:v>2010-2020</c:v>
                </c:pt>
                <c:pt idx="1">
                  <c:v>2020-2030</c:v>
                </c:pt>
                <c:pt idx="2">
                  <c:v>2030-2050</c:v>
                </c:pt>
              </c:strCache>
            </c:strRef>
          </c:cat>
          <c:val>
            <c:numRef>
              <c:f>'Growth, Modal Shift, InfraCosts'!$BL$30:$BN$30</c:f>
              <c:numCache>
                <c:formatCode>0.00%</c:formatCode>
                <c:ptCount val="3"/>
                <c:pt idx="0">
                  <c:v>2.4999521046025208E-3</c:v>
                </c:pt>
                <c:pt idx="1">
                  <c:v>2.4999999999999467E-3</c:v>
                </c:pt>
                <c:pt idx="2">
                  <c:v>1.2499999999999734E-3</c:v>
                </c:pt>
              </c:numCache>
            </c:numRef>
          </c:val>
          <c:smooth val="0"/>
        </c:ser>
        <c:ser>
          <c:idx val="3"/>
          <c:order val="3"/>
          <c:tx>
            <c:strRef>
              <c:f>'Growth, Modal Shift, InfraCosts'!$BK$31</c:f>
              <c:strCache>
                <c:ptCount val="1"/>
                <c:pt idx="0">
                  <c:v>Bicycle/walking</c:v>
                </c:pt>
              </c:strCache>
            </c:strRef>
          </c:tx>
          <c:cat>
            <c:strRef>
              <c:f>'Growth, Modal Shift, InfraCosts'!$BL$27:$BN$27</c:f>
              <c:strCache>
                <c:ptCount val="3"/>
                <c:pt idx="0">
                  <c:v>2010-2020</c:v>
                </c:pt>
                <c:pt idx="1">
                  <c:v>2020-2030</c:v>
                </c:pt>
                <c:pt idx="2">
                  <c:v>2030-2050</c:v>
                </c:pt>
              </c:strCache>
            </c:strRef>
          </c:cat>
          <c:val>
            <c:numRef>
              <c:f>'Growth, Modal Shift, InfraCosts'!$BL$31:$BN$31</c:f>
              <c:numCache>
                <c:formatCode>0.00%</c:formatCode>
                <c:ptCount val="3"/>
                <c:pt idx="0">
                  <c:v>-1.0000450028524455E-5</c:v>
                </c:pt>
                <c:pt idx="1">
                  <c:v>0</c:v>
                </c:pt>
                <c:pt idx="2">
                  <c:v>0</c:v>
                </c:pt>
              </c:numCache>
            </c:numRef>
          </c:val>
          <c:smooth val="0"/>
        </c:ser>
        <c:ser>
          <c:idx val="4"/>
          <c:order val="4"/>
          <c:tx>
            <c:strRef>
              <c:f>'Growth, Modal Shift, InfraCosts'!$BK$32</c:f>
              <c:strCache>
                <c:ptCount val="1"/>
                <c:pt idx="0">
                  <c:v>Air</c:v>
                </c:pt>
              </c:strCache>
            </c:strRef>
          </c:tx>
          <c:cat>
            <c:strRef>
              <c:f>'Growth, Modal Shift, InfraCosts'!$BL$27:$BN$27</c:f>
              <c:strCache>
                <c:ptCount val="3"/>
                <c:pt idx="0">
                  <c:v>2010-2020</c:v>
                </c:pt>
                <c:pt idx="1">
                  <c:v>2020-2030</c:v>
                </c:pt>
                <c:pt idx="2">
                  <c:v>2030-2050</c:v>
                </c:pt>
              </c:strCache>
            </c:strRef>
          </c:cat>
          <c:val>
            <c:numRef>
              <c:f>'Growth, Modal Shift, InfraCosts'!$BL$32:$BN$32</c:f>
              <c:numCache>
                <c:formatCode>0.00%</c:formatCode>
                <c:ptCount val="3"/>
                <c:pt idx="0">
                  <c:v>3.2000000000000028E-2</c:v>
                </c:pt>
                <c:pt idx="1">
                  <c:v>2.8999999999999915E-2</c:v>
                </c:pt>
                <c:pt idx="2">
                  <c:v>1.4499999999999957E-2</c:v>
                </c:pt>
              </c:numCache>
            </c:numRef>
          </c:val>
          <c:smooth val="0"/>
        </c:ser>
        <c:ser>
          <c:idx val="5"/>
          <c:order val="5"/>
          <c:tx>
            <c:strRef>
              <c:f>'Growth, Modal Shift, InfraCosts'!$BK$33</c:f>
              <c:strCache>
                <c:ptCount val="1"/>
                <c:pt idx="0">
                  <c:v>Sea</c:v>
                </c:pt>
              </c:strCache>
            </c:strRef>
          </c:tx>
          <c:cat>
            <c:strRef>
              <c:f>'Growth, Modal Shift, InfraCosts'!$BL$27:$BN$27</c:f>
              <c:strCache>
                <c:ptCount val="3"/>
                <c:pt idx="0">
                  <c:v>2010-2020</c:v>
                </c:pt>
                <c:pt idx="1">
                  <c:v>2020-2030</c:v>
                </c:pt>
                <c:pt idx="2">
                  <c:v>2030-2050</c:v>
                </c:pt>
              </c:strCache>
            </c:strRef>
          </c:cat>
          <c:val>
            <c:numRef>
              <c:f>'Growth, Modal Shift, InfraCosts'!$BL$33:$BN$33</c:f>
              <c:numCache>
                <c:formatCode>0.00%</c:formatCode>
                <c:ptCount val="3"/>
                <c:pt idx="0">
                  <c:v>8.999999999999897E-3</c:v>
                </c:pt>
                <c:pt idx="1">
                  <c:v>8.999999999999897E-3</c:v>
                </c:pt>
                <c:pt idx="2">
                  <c:v>4.4999999999999485E-3</c:v>
                </c:pt>
              </c:numCache>
            </c:numRef>
          </c:val>
          <c:smooth val="0"/>
        </c:ser>
        <c:dLbls>
          <c:showLegendKey val="0"/>
          <c:showVal val="0"/>
          <c:showCatName val="0"/>
          <c:showSerName val="0"/>
          <c:showPercent val="0"/>
          <c:showBubbleSize val="0"/>
        </c:dLbls>
        <c:marker val="1"/>
        <c:smooth val="0"/>
        <c:axId val="117398824"/>
        <c:axId val="117395296"/>
      </c:lineChart>
      <c:catAx>
        <c:axId val="117398824"/>
        <c:scaling>
          <c:orientation val="minMax"/>
        </c:scaling>
        <c:delete val="0"/>
        <c:axPos val="b"/>
        <c:numFmt formatCode="General" sourceLinked="0"/>
        <c:majorTickMark val="out"/>
        <c:minorTickMark val="none"/>
        <c:tickLblPos val="nextTo"/>
        <c:crossAx val="117395296"/>
        <c:crosses val="autoZero"/>
        <c:auto val="1"/>
        <c:lblAlgn val="ctr"/>
        <c:lblOffset val="100"/>
        <c:noMultiLvlLbl val="0"/>
      </c:catAx>
      <c:valAx>
        <c:axId val="117395296"/>
        <c:scaling>
          <c:orientation val="minMax"/>
          <c:min val="0"/>
        </c:scaling>
        <c:delete val="0"/>
        <c:axPos val="l"/>
        <c:majorGridlines/>
        <c:title>
          <c:tx>
            <c:strRef>
              <c:f>'Growth, Modal Shift, InfraCosts'!$AR$5</c:f>
              <c:strCache>
                <c:ptCount val="1"/>
                <c:pt idx="0">
                  <c:v>Growth Rate (%/year)</c:v>
                </c:pt>
              </c:strCache>
            </c:strRef>
          </c:tx>
          <c:overlay val="0"/>
          <c:txPr>
            <a:bodyPr rot="-5400000" vert="horz"/>
            <a:lstStyle/>
            <a:p>
              <a:pPr>
                <a:defRPr/>
              </a:pPr>
              <a:endParaRPr lang="en-US"/>
            </a:p>
          </c:txPr>
        </c:title>
        <c:numFmt formatCode="0.00%" sourceLinked="1"/>
        <c:majorTickMark val="out"/>
        <c:minorTickMark val="none"/>
        <c:tickLblPos val="nextTo"/>
        <c:crossAx val="117398824"/>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'Growth, Modal Shift, InfraCosts'!$BK$6</c:f>
              <c:strCache>
                <c:ptCount val="1"/>
                <c:pt idx="0">
                  <c:v>Bicycle/walking</c:v>
                </c:pt>
              </c:strCache>
            </c:strRef>
          </c:tx>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InfraCosts'!$BL$6:$BP$6</c:f>
              <c:numCache>
                <c:formatCode>#,##0</c:formatCode>
                <c:ptCount val="5"/>
                <c:pt idx="0">
                  <c:v>3248.3223933319796</c:v>
                </c:pt>
                <c:pt idx="1">
                  <c:v>3247.9975610926463</c:v>
                </c:pt>
                <c:pt idx="2">
                  <c:v>3247.9975610926463</c:v>
                </c:pt>
                <c:pt idx="3">
                  <c:v>3247.9975610926463</c:v>
                </c:pt>
                <c:pt idx="4">
                  <c:v>3247.9975610926463</c:v>
                </c:pt>
              </c:numCache>
            </c:numRef>
          </c:val>
        </c:ser>
        <c:ser>
          <c:idx val="1"/>
          <c:order val="1"/>
          <c:tx>
            <c:strRef>
              <c:f>'Growth, Modal Shift, InfraCosts'!$BK$7</c:f>
              <c:strCache>
                <c:ptCount val="1"/>
                <c:pt idx="0">
                  <c:v>Cars and vans &lt; 2 t</c:v>
                </c:pt>
              </c:strCache>
            </c:strRef>
          </c:tx>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InfraCosts'!$BL$7:$BP$7</c:f>
              <c:numCache>
                <c:formatCode>#,##0</c:formatCode>
                <c:ptCount val="5"/>
                <c:pt idx="0">
                  <c:v>51784.948215000004</c:v>
                </c:pt>
                <c:pt idx="1">
                  <c:v>64428.817973931888</c:v>
                </c:pt>
                <c:pt idx="2">
                  <c:v>79911.906492251175</c:v>
                </c:pt>
                <c:pt idx="3">
                  <c:v>89496.135021296679</c:v>
                </c:pt>
                <c:pt idx="4">
                  <c:v>99080.363550342168</c:v>
                </c:pt>
              </c:numCache>
            </c:numRef>
          </c:val>
        </c:ser>
        <c:ser>
          <c:idx val="2"/>
          <c:order val="2"/>
          <c:tx>
            <c:strRef>
              <c:f>'Growth, Modal Shift, InfraCosts'!$BK$8</c:f>
              <c:strCache>
                <c:ptCount val="1"/>
                <c:pt idx="0">
                  <c:v>Rail</c:v>
                </c:pt>
              </c:strCache>
            </c:strRef>
          </c:tx>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InfraCosts'!$BL$8:$BP$8</c:f>
              <c:numCache>
                <c:formatCode>#,##0</c:formatCode>
                <c:ptCount val="5"/>
                <c:pt idx="0">
                  <c:v>7277.9250000000002</c:v>
                </c:pt>
                <c:pt idx="1">
                  <c:v>7461.933747396828</c:v>
                </c:pt>
                <c:pt idx="2">
                  <c:v>8366.4275096792499</c:v>
                </c:pt>
                <c:pt idx="3">
                  <c:v>8472.2591090007463</c:v>
                </c:pt>
                <c:pt idx="4">
                  <c:v>8578.0907083222428</c:v>
                </c:pt>
              </c:numCache>
            </c:numRef>
          </c:val>
        </c:ser>
        <c:ser>
          <c:idx val="3"/>
          <c:order val="3"/>
          <c:tx>
            <c:strRef>
              <c:f>'Growth, Modal Shift, InfraCosts'!$BK$9</c:f>
              <c:strCache>
                <c:ptCount val="1"/>
                <c:pt idx="0">
                  <c:v>Bus</c:v>
                </c:pt>
              </c:strCache>
            </c:strRef>
          </c:tx>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InfraCosts'!$BL$9:$BP$9</c:f>
              <c:numCache>
                <c:formatCode>#,##0</c:formatCode>
                <c:ptCount val="5"/>
                <c:pt idx="0">
                  <c:v>9105</c:v>
                </c:pt>
                <c:pt idx="1">
                  <c:v>9335.1984680573551</c:v>
                </c:pt>
                <c:pt idx="2">
                  <c:v>9571.2215346330649</c:v>
                </c:pt>
                <c:pt idx="3">
                  <c:v>9692.2932443082736</c:v>
                </c:pt>
                <c:pt idx="4">
                  <c:v>9813.3649539834823</c:v>
                </c:pt>
              </c:numCache>
            </c:numRef>
          </c:val>
        </c:ser>
        <c:ser>
          <c:idx val="4"/>
          <c:order val="4"/>
          <c:tx>
            <c:strRef>
              <c:f>'Growth, Modal Shift, InfraCosts'!$BK$10</c:f>
              <c:strCache>
                <c:ptCount val="1"/>
                <c:pt idx="0">
                  <c:v>Air</c:v>
                </c:pt>
              </c:strCache>
            </c:strRef>
          </c:tx>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InfraCosts'!$BL$10:$BP$10</c:f>
              <c:numCache>
                <c:formatCode>#,##0</c:formatCode>
                <c:ptCount val="5"/>
                <c:pt idx="0">
                  <c:v>16844.599999999999</c:v>
                </c:pt>
                <c:pt idx="1">
                  <c:v>23081.162329105435</c:v>
                </c:pt>
                <c:pt idx="2">
                  <c:v>30719.307624814424</c:v>
                </c:pt>
                <c:pt idx="3">
                  <c:v>35844.016408741249</c:v>
                </c:pt>
                <c:pt idx="4">
                  <c:v>40968.725192668076</c:v>
                </c:pt>
              </c:numCache>
            </c:numRef>
          </c:val>
        </c:ser>
        <c:ser>
          <c:idx val="5"/>
          <c:order val="5"/>
          <c:tx>
            <c:strRef>
              <c:f>'Growth, Modal Shift, InfraCosts'!$BK$11</c:f>
              <c:strCache>
                <c:ptCount val="1"/>
                <c:pt idx="0">
                  <c:v>Sea</c:v>
                </c:pt>
              </c:strCache>
            </c:strRef>
          </c:tx>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InfraCosts'!$BL$11:$BP$11</c:f>
              <c:numCache>
                <c:formatCode>#,##0</c:formatCode>
                <c:ptCount val="5"/>
                <c:pt idx="0">
                  <c:v>924.7</c:v>
                </c:pt>
                <c:pt idx="1">
                  <c:v>1011.3757121804953</c:v>
                </c:pt>
                <c:pt idx="2">
                  <c:v>1106.1758745415855</c:v>
                </c:pt>
                <c:pt idx="3">
                  <c:v>1158.1403657443166</c:v>
                </c:pt>
                <c:pt idx="4">
                  <c:v>1210.1048569470477</c:v>
                </c:pt>
              </c:numCache>
            </c:numRef>
          </c:val>
        </c:ser>
        <c:dLbls>
          <c:showLegendKey val="0"/>
          <c:showVal val="0"/>
          <c:showCatName val="0"/>
          <c:showSerName val="0"/>
          <c:showPercent val="0"/>
          <c:showBubbleSize val="0"/>
        </c:dLbls>
        <c:gapWidth val="150"/>
        <c:axId val="117398432"/>
        <c:axId val="117394120"/>
      </c:barChart>
      <c:catAx>
        <c:axId val="117398432"/>
        <c:scaling>
          <c:orientation val="minMax"/>
        </c:scaling>
        <c:delete val="0"/>
        <c:axPos val="b"/>
        <c:numFmt formatCode="General" sourceLinked="1"/>
        <c:majorTickMark val="out"/>
        <c:minorTickMark val="none"/>
        <c:tickLblPos val="nextTo"/>
        <c:crossAx val="117394120"/>
        <c:crosses val="autoZero"/>
        <c:auto val="1"/>
        <c:lblAlgn val="ctr"/>
        <c:lblOffset val="100"/>
        <c:noMultiLvlLbl val="0"/>
      </c:catAx>
      <c:valAx>
        <c:axId val="117394120"/>
        <c:scaling>
          <c:orientation val="minMax"/>
          <c:min val="0"/>
        </c:scaling>
        <c:delete val="0"/>
        <c:axPos val="l"/>
        <c:majorGridlines/>
        <c:title>
          <c:tx>
            <c:strRef>
              <c:f>'Growth, Modal Shift, InfraCosts'!$AQ$5</c:f>
              <c:strCache>
                <c:ptCount val="1"/>
                <c:pt idx="0">
                  <c:v>Transport Demand (Mpkm)</c:v>
                </c:pt>
              </c:strCache>
            </c:strRef>
          </c:tx>
          <c:overlay val="0"/>
          <c:txPr>
            <a:bodyPr rot="-5400000" vert="horz"/>
            <a:lstStyle/>
            <a:p>
              <a:pPr>
                <a:defRPr/>
              </a:pPr>
              <a:endParaRPr lang="en-US"/>
            </a:p>
          </c:txPr>
        </c:title>
        <c:numFmt formatCode="#,##0" sourceLinked="1"/>
        <c:majorTickMark val="out"/>
        <c:minorTickMark val="none"/>
        <c:tickLblPos val="nextTo"/>
        <c:crossAx val="117398432"/>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'Growth, Modal Shift, InfraCosts'!$BK$75</c:f>
              <c:strCache>
                <c:ptCount val="1"/>
                <c:pt idx="0">
                  <c:v>National truck</c:v>
                </c:pt>
              </c:strCache>
            </c:strRef>
          </c:tx>
          <c:cat>
            <c:strRef>
              <c:f>'Growth, Modal Shift, InfraCosts'!$BL$74:$BN$74</c:f>
              <c:strCache>
                <c:ptCount val="3"/>
                <c:pt idx="0">
                  <c:v>2010-2020</c:v>
                </c:pt>
                <c:pt idx="1">
                  <c:v>2020-2030</c:v>
                </c:pt>
                <c:pt idx="2">
                  <c:v>2030-2050</c:v>
                </c:pt>
              </c:strCache>
            </c:strRef>
          </c:cat>
          <c:val>
            <c:numRef>
              <c:f>'Growth, Modal Shift, InfraCosts'!$BL$75:$BN$75</c:f>
              <c:numCache>
                <c:formatCode>0.00%</c:formatCode>
                <c:ptCount val="3"/>
                <c:pt idx="0">
                  <c:v>2.2025115097018988E-2</c:v>
                </c:pt>
                <c:pt idx="1">
                  <c:v>2.199106755735003E-2</c:v>
                </c:pt>
                <c:pt idx="2">
                  <c:v>1.1010607629218017E-2</c:v>
                </c:pt>
              </c:numCache>
            </c:numRef>
          </c:val>
          <c:smooth val="0"/>
        </c:ser>
        <c:ser>
          <c:idx val="1"/>
          <c:order val="1"/>
          <c:tx>
            <c:strRef>
              <c:f>'Growth, Modal Shift, InfraCosts'!$BK$76</c:f>
              <c:strCache>
                <c:ptCount val="1"/>
                <c:pt idx="0">
                  <c:v>International truck</c:v>
                </c:pt>
              </c:strCache>
            </c:strRef>
          </c:tx>
          <c:cat>
            <c:strRef>
              <c:f>'Growth, Modal Shift, InfraCosts'!$BL$74:$BN$74</c:f>
              <c:strCache>
                <c:ptCount val="3"/>
                <c:pt idx="0">
                  <c:v>2010-2020</c:v>
                </c:pt>
                <c:pt idx="1">
                  <c:v>2020-2030</c:v>
                </c:pt>
                <c:pt idx="2">
                  <c:v>2030-2050</c:v>
                </c:pt>
              </c:strCache>
            </c:strRef>
          </c:cat>
          <c:val>
            <c:numRef>
              <c:f>'Growth, Modal Shift, InfraCosts'!$BL$76:$BN$76</c:f>
              <c:numCache>
                <c:formatCode>0.00%</c:formatCode>
                <c:ptCount val="3"/>
                <c:pt idx="0">
                  <c:v>1.0310738761621696E-2</c:v>
                </c:pt>
                <c:pt idx="1">
                  <c:v>1.1625387959514732E-2</c:v>
                </c:pt>
                <c:pt idx="2">
                  <c:v>6.1917125796691064E-3</c:v>
                </c:pt>
              </c:numCache>
            </c:numRef>
          </c:val>
          <c:smooth val="0"/>
        </c:ser>
        <c:ser>
          <c:idx val="2"/>
          <c:order val="2"/>
          <c:tx>
            <c:strRef>
              <c:f>'Growth, Modal Shift, InfraCosts'!$BK$77</c:f>
              <c:strCache>
                <c:ptCount val="1"/>
                <c:pt idx="0">
                  <c:v>Vans (2-6 t)</c:v>
                </c:pt>
              </c:strCache>
            </c:strRef>
          </c:tx>
          <c:cat>
            <c:strRef>
              <c:f>'Growth, Modal Shift, InfraCosts'!$BL$74:$BN$74</c:f>
              <c:strCache>
                <c:ptCount val="3"/>
                <c:pt idx="0">
                  <c:v>2010-2020</c:v>
                </c:pt>
                <c:pt idx="1">
                  <c:v>2020-2030</c:v>
                </c:pt>
                <c:pt idx="2">
                  <c:v>2030-2050</c:v>
                </c:pt>
              </c:strCache>
            </c:strRef>
          </c:cat>
          <c:val>
            <c:numRef>
              <c:f>'Growth, Modal Shift, InfraCosts'!$BL$77:$BN$77</c:f>
              <c:numCache>
                <c:formatCode>0.00%</c:formatCode>
                <c:ptCount val="3"/>
                <c:pt idx="0">
                  <c:v>2.200000000000002E-2</c:v>
                </c:pt>
                <c:pt idx="1">
                  <c:v>2.200000000000002E-2</c:v>
                </c:pt>
                <c:pt idx="2">
                  <c:v>1.0999999999999899E-2</c:v>
                </c:pt>
              </c:numCache>
            </c:numRef>
          </c:val>
          <c:smooth val="0"/>
        </c:ser>
        <c:ser>
          <c:idx val="3"/>
          <c:order val="3"/>
          <c:tx>
            <c:strRef>
              <c:f>'Growth, Modal Shift, InfraCosts'!$BK$78</c:f>
              <c:strCache>
                <c:ptCount val="1"/>
                <c:pt idx="0">
                  <c:v>National rail </c:v>
                </c:pt>
              </c:strCache>
            </c:strRef>
          </c:tx>
          <c:cat>
            <c:strRef>
              <c:f>'Growth, Modal Shift, InfraCosts'!$BL$74:$BN$74</c:f>
              <c:strCache>
                <c:ptCount val="3"/>
                <c:pt idx="0">
                  <c:v>2010-2020</c:v>
                </c:pt>
                <c:pt idx="1">
                  <c:v>2020-2030</c:v>
                </c:pt>
                <c:pt idx="2">
                  <c:v>2030-2050</c:v>
                </c:pt>
              </c:strCache>
            </c:strRef>
          </c:cat>
          <c:val>
            <c:numRef>
              <c:f>'Growth, Modal Shift, InfraCosts'!$BL$78:$BN$78</c:f>
              <c:numCache>
                <c:formatCode>0.00%</c:formatCode>
                <c:ptCount val="3"/>
                <c:pt idx="0">
                  <c:v>0</c:v>
                </c:pt>
                <c:pt idx="1">
                  <c:v>0</c:v>
                </c:pt>
                <c:pt idx="2">
                  <c:v>0</c:v>
                </c:pt>
              </c:numCache>
            </c:numRef>
          </c:val>
          <c:smooth val="0"/>
        </c:ser>
        <c:ser>
          <c:idx val="4"/>
          <c:order val="4"/>
          <c:tx>
            <c:strRef>
              <c:f>'Growth, Modal Shift, InfraCosts'!$BK$79</c:f>
              <c:strCache>
                <c:ptCount val="1"/>
                <c:pt idx="0">
                  <c:v>International rail (electricity)</c:v>
                </c:pt>
              </c:strCache>
            </c:strRef>
          </c:tx>
          <c:cat>
            <c:strRef>
              <c:f>'Growth, Modal Shift, InfraCosts'!$BL$74:$BN$74</c:f>
              <c:strCache>
                <c:ptCount val="3"/>
                <c:pt idx="0">
                  <c:v>2010-2020</c:v>
                </c:pt>
                <c:pt idx="1">
                  <c:v>2020-2030</c:v>
                </c:pt>
                <c:pt idx="2">
                  <c:v>2030-2050</c:v>
                </c:pt>
              </c:strCache>
            </c:strRef>
          </c:cat>
          <c:val>
            <c:numRef>
              <c:f>'Growth, Modal Shift, InfraCosts'!$BL$79:$BN$79</c:f>
              <c:numCache>
                <c:formatCode>0.00%</c:formatCode>
                <c:ptCount val="3"/>
                <c:pt idx="0">
                  <c:v>2.3E-2</c:v>
                </c:pt>
                <c:pt idx="1">
                  <c:v>2.3E-2</c:v>
                </c:pt>
                <c:pt idx="2">
                  <c:v>1.15E-2</c:v>
                </c:pt>
              </c:numCache>
            </c:numRef>
          </c:val>
          <c:smooth val="0"/>
        </c:ser>
        <c:ser>
          <c:idx val="5"/>
          <c:order val="5"/>
          <c:tx>
            <c:strRef>
              <c:f>'Growth, Modal Shift, InfraCosts'!$BK$80</c:f>
              <c:strCache>
                <c:ptCount val="1"/>
                <c:pt idx="0">
                  <c:v>National cargo air</c:v>
                </c:pt>
              </c:strCache>
            </c:strRef>
          </c:tx>
          <c:cat>
            <c:strRef>
              <c:f>'Growth, Modal Shift, InfraCosts'!$BL$74:$BN$74</c:f>
              <c:strCache>
                <c:ptCount val="3"/>
                <c:pt idx="0">
                  <c:v>2010-2020</c:v>
                </c:pt>
                <c:pt idx="1">
                  <c:v>2020-2030</c:v>
                </c:pt>
                <c:pt idx="2">
                  <c:v>2030-2050</c:v>
                </c:pt>
              </c:strCache>
            </c:strRef>
          </c:cat>
          <c:val>
            <c:numRef>
              <c:f>'Growth, Modal Shift, InfraCosts'!$BL$80:$BN$80</c:f>
              <c:numCache>
                <c:formatCode>0.00%</c:formatCode>
                <c:ptCount val="3"/>
                <c:pt idx="0">
                  <c:v>0</c:v>
                </c:pt>
                <c:pt idx="1">
                  <c:v>0</c:v>
                </c:pt>
                <c:pt idx="2">
                  <c:v>0</c:v>
                </c:pt>
              </c:numCache>
            </c:numRef>
          </c:val>
          <c:smooth val="0"/>
        </c:ser>
        <c:ser>
          <c:idx val="6"/>
          <c:order val="6"/>
          <c:tx>
            <c:strRef>
              <c:f>'Growth, Modal Shift, InfraCosts'!$BK$81</c:f>
              <c:strCache>
                <c:ptCount val="1"/>
                <c:pt idx="0">
                  <c:v>Internationa cargo air</c:v>
                </c:pt>
              </c:strCache>
            </c:strRef>
          </c:tx>
          <c:cat>
            <c:strRef>
              <c:f>'Growth, Modal Shift, InfraCosts'!$BL$74:$BN$74</c:f>
              <c:strCache>
                <c:ptCount val="3"/>
                <c:pt idx="0">
                  <c:v>2010-2020</c:v>
                </c:pt>
                <c:pt idx="1">
                  <c:v>2020-2030</c:v>
                </c:pt>
                <c:pt idx="2">
                  <c:v>2030-2050</c:v>
                </c:pt>
              </c:strCache>
            </c:strRef>
          </c:cat>
          <c:val>
            <c:numRef>
              <c:f>'Growth, Modal Shift, InfraCosts'!$BL$81:$BN$81</c:f>
              <c:numCache>
                <c:formatCode>0.00%</c:formatCode>
                <c:ptCount val="3"/>
                <c:pt idx="0">
                  <c:v>2.3E-2</c:v>
                </c:pt>
                <c:pt idx="1">
                  <c:v>2.3E-2</c:v>
                </c:pt>
                <c:pt idx="2">
                  <c:v>1.15E-2</c:v>
                </c:pt>
              </c:numCache>
            </c:numRef>
          </c:val>
          <c:smooth val="0"/>
        </c:ser>
        <c:ser>
          <c:idx val="7"/>
          <c:order val="7"/>
          <c:tx>
            <c:strRef>
              <c:f>'Growth, Modal Shift, InfraCosts'!$BK$82</c:f>
              <c:strCache>
                <c:ptCount val="1"/>
                <c:pt idx="0">
                  <c:v>National cargo sea</c:v>
                </c:pt>
              </c:strCache>
            </c:strRef>
          </c:tx>
          <c:cat>
            <c:strRef>
              <c:f>'Growth, Modal Shift, InfraCosts'!$BL$74:$BN$74</c:f>
              <c:strCache>
                <c:ptCount val="3"/>
                <c:pt idx="0">
                  <c:v>2010-2020</c:v>
                </c:pt>
                <c:pt idx="1">
                  <c:v>2020-2030</c:v>
                </c:pt>
                <c:pt idx="2">
                  <c:v>2030-2050</c:v>
                </c:pt>
              </c:strCache>
            </c:strRef>
          </c:cat>
          <c:val>
            <c:numRef>
              <c:f>'Growth, Modal Shift, InfraCosts'!$BL$82:$BN$82</c:f>
              <c:numCache>
                <c:formatCode>0.00%</c:formatCode>
                <c:ptCount val="3"/>
                <c:pt idx="0">
                  <c:v>9.4999999999999998E-3</c:v>
                </c:pt>
                <c:pt idx="1">
                  <c:v>9.4999999999999998E-3</c:v>
                </c:pt>
                <c:pt idx="2">
                  <c:v>4.7499999999999999E-3</c:v>
                </c:pt>
              </c:numCache>
            </c:numRef>
          </c:val>
          <c:smooth val="0"/>
        </c:ser>
        <c:ser>
          <c:idx val="8"/>
          <c:order val="8"/>
          <c:tx>
            <c:strRef>
              <c:f>'Growth, Modal Shift, InfraCosts'!$BK$83</c:f>
              <c:strCache>
                <c:ptCount val="1"/>
                <c:pt idx="0">
                  <c:v>International cargo sea</c:v>
                </c:pt>
              </c:strCache>
            </c:strRef>
          </c:tx>
          <c:cat>
            <c:strRef>
              <c:f>'Growth, Modal Shift, InfraCosts'!$BL$74:$BN$74</c:f>
              <c:strCache>
                <c:ptCount val="3"/>
                <c:pt idx="0">
                  <c:v>2010-2020</c:v>
                </c:pt>
                <c:pt idx="1">
                  <c:v>2020-2030</c:v>
                </c:pt>
                <c:pt idx="2">
                  <c:v>2030-2050</c:v>
                </c:pt>
              </c:strCache>
            </c:strRef>
          </c:cat>
          <c:val>
            <c:numRef>
              <c:f>'Growth, Modal Shift, InfraCosts'!$BL$83:$BN$83</c:f>
              <c:numCache>
                <c:formatCode>0.00%</c:formatCode>
                <c:ptCount val="3"/>
                <c:pt idx="0">
                  <c:v>2.3E-2</c:v>
                </c:pt>
                <c:pt idx="1">
                  <c:v>2.3E-2</c:v>
                </c:pt>
                <c:pt idx="2">
                  <c:v>1.15E-2</c:v>
                </c:pt>
              </c:numCache>
            </c:numRef>
          </c:val>
          <c:smooth val="0"/>
        </c:ser>
        <c:dLbls>
          <c:showLegendKey val="0"/>
          <c:showVal val="0"/>
          <c:showCatName val="0"/>
          <c:showSerName val="0"/>
          <c:showPercent val="0"/>
          <c:showBubbleSize val="0"/>
        </c:dLbls>
        <c:marker val="1"/>
        <c:smooth val="0"/>
        <c:axId val="117392944"/>
        <c:axId val="117396472"/>
      </c:lineChart>
      <c:catAx>
        <c:axId val="117392944"/>
        <c:scaling>
          <c:orientation val="minMax"/>
        </c:scaling>
        <c:delete val="0"/>
        <c:axPos val="b"/>
        <c:numFmt formatCode="General" sourceLinked="0"/>
        <c:majorTickMark val="out"/>
        <c:minorTickMark val="none"/>
        <c:tickLblPos val="nextTo"/>
        <c:crossAx val="117396472"/>
        <c:crosses val="autoZero"/>
        <c:auto val="1"/>
        <c:lblAlgn val="ctr"/>
        <c:lblOffset val="100"/>
        <c:noMultiLvlLbl val="0"/>
      </c:catAx>
      <c:valAx>
        <c:axId val="117396472"/>
        <c:scaling>
          <c:orientation val="minMax"/>
          <c:min val="0"/>
        </c:scaling>
        <c:delete val="0"/>
        <c:axPos val="l"/>
        <c:majorGridlines/>
        <c:title>
          <c:tx>
            <c:strRef>
              <c:f>'Growth, Modal Shift, InfraCosts'!$AR$5</c:f>
              <c:strCache>
                <c:ptCount val="1"/>
                <c:pt idx="0">
                  <c:v>Growth Rate (%/year)</c:v>
                </c:pt>
              </c:strCache>
            </c:strRef>
          </c:tx>
          <c:overlay val="0"/>
          <c:txPr>
            <a:bodyPr rot="-5400000" vert="horz"/>
            <a:lstStyle/>
            <a:p>
              <a:pPr>
                <a:defRPr/>
              </a:pPr>
              <a:endParaRPr lang="en-US"/>
            </a:p>
          </c:txPr>
        </c:title>
        <c:numFmt formatCode="0.00%" sourceLinked="1"/>
        <c:majorTickMark val="out"/>
        <c:minorTickMark val="none"/>
        <c:tickLblPos val="nextTo"/>
        <c:crossAx val="117392944"/>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energy demand, PJ (excl.</a:t>
            </a:r>
            <a:r>
              <a:rPr lang="en-US" baseline="0"/>
              <a:t> international)</a:t>
            </a:r>
            <a:endParaRPr lang="en-US"/>
          </a:p>
        </c:rich>
      </c:tx>
      <c:overlay val="0"/>
    </c:title>
    <c:autoTitleDeleted val="0"/>
    <c:plotArea>
      <c:layout/>
      <c:barChart>
        <c:barDir val="col"/>
        <c:grouping val="stacked"/>
        <c:varyColors val="0"/>
        <c:ser>
          <c:idx val="0"/>
          <c:order val="0"/>
          <c:tx>
            <c:strRef>
              <c:f>Results!$B$76</c:f>
              <c:strCache>
                <c:ptCount val="1"/>
                <c:pt idx="0">
                  <c:v>Vans (2-6 t)</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Results!$C$76:$G$76</c:f>
              <c:numCache>
                <c:formatCode>0</c:formatCode>
                <c:ptCount val="5"/>
                <c:pt idx="0">
                  <c:v>40.564999999999998</c:v>
                </c:pt>
                <c:pt idx="1">
                  <c:v>43.573929304048157</c:v>
                </c:pt>
                <c:pt idx="2">
                  <c:v>46.806047454559014</c:v>
                </c:pt>
                <c:pt idx="3">
                  <c:v>50.286278831379846</c:v>
                </c:pt>
                <c:pt idx="4">
                  <c:v>53.766510208200671</c:v>
                </c:pt>
              </c:numCache>
            </c:numRef>
          </c:val>
        </c:ser>
        <c:ser>
          <c:idx val="2"/>
          <c:order val="1"/>
          <c:tx>
            <c:strRef>
              <c:f>Results!$B$77</c:f>
              <c:strCache>
                <c:ptCount val="1"/>
                <c:pt idx="0">
                  <c:v>National truck</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Results!$C$77:$G$77</c:f>
              <c:numCache>
                <c:formatCode>0</c:formatCode>
                <c:ptCount val="5"/>
                <c:pt idx="0">
                  <c:v>23.966248098916282</c:v>
                </c:pt>
                <c:pt idx="1">
                  <c:v>25.954410377540899</c:v>
                </c:pt>
                <c:pt idx="2">
                  <c:v>27.47025535625367</c:v>
                </c:pt>
                <c:pt idx="3">
                  <c:v>28.636419959920683</c:v>
                </c:pt>
                <c:pt idx="4">
                  <c:v>29.802584563587697</c:v>
                </c:pt>
              </c:numCache>
            </c:numRef>
          </c:val>
        </c:ser>
        <c:ser>
          <c:idx val="5"/>
          <c:order val="2"/>
          <c:tx>
            <c:strRef>
              <c:f>Results!$B$79</c:f>
              <c:strCache>
                <c:ptCount val="1"/>
                <c:pt idx="0">
                  <c:v>National rail </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Results!$C$79:$G$79</c:f>
              <c:numCache>
                <c:formatCode>0</c:formatCode>
                <c:ptCount val="5"/>
                <c:pt idx="0">
                  <c:v>6.7254065477477476E-2</c:v>
                </c:pt>
                <c:pt idx="1">
                  <c:v>5.8696738738738749E-2</c:v>
                </c:pt>
                <c:pt idx="2">
                  <c:v>5.5125045045045042E-2</c:v>
                </c:pt>
                <c:pt idx="3">
                  <c:v>5.511752252252252E-2</c:v>
                </c:pt>
                <c:pt idx="4">
                  <c:v>5.5109999999999999E-2</c:v>
                </c:pt>
              </c:numCache>
            </c:numRef>
          </c:val>
        </c:ser>
        <c:ser>
          <c:idx val="9"/>
          <c:order val="3"/>
          <c:tx>
            <c:strRef>
              <c:f>Results!$B$81</c:f>
              <c:strCache>
                <c:ptCount val="1"/>
                <c:pt idx="0">
                  <c:v>National cargo air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Results!$C$81:$G$81</c:f>
              <c:numCache>
                <c:formatCode>0</c:formatCode>
                <c:ptCount val="5"/>
                <c:pt idx="0">
                  <c:v>1.19556E-2</c:v>
                </c:pt>
                <c:pt idx="1">
                  <c:v>1.0922144582081185E-2</c:v>
                </c:pt>
                <c:pt idx="2">
                  <c:v>8.9241873309126845E-3</c:v>
                </c:pt>
                <c:pt idx="3">
                  <c:v>7.4410229672329034E-3</c:v>
                </c:pt>
                <c:pt idx="4">
                  <c:v>5.9578586035531232E-3</c:v>
                </c:pt>
              </c:numCache>
            </c:numRef>
          </c:val>
        </c:ser>
        <c:ser>
          <c:idx val="4"/>
          <c:order val="4"/>
          <c:tx>
            <c:strRef>
              <c:f>Results!$B$83</c:f>
              <c:strCache>
                <c:ptCount val="1"/>
                <c:pt idx="0">
                  <c:v>National cargo sea</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Results!$C$83:$G$83</c:f>
              <c:numCache>
                <c:formatCode>0</c:formatCode>
                <c:ptCount val="5"/>
                <c:pt idx="0">
                  <c:v>0.46988000000000002</c:v>
                </c:pt>
                <c:pt idx="1">
                  <c:v>0.47950473654922166</c:v>
                </c:pt>
                <c:pt idx="2">
                  <c:v>0.47665931030863562</c:v>
                </c:pt>
                <c:pt idx="3">
                  <c:v>0.48016799360056805</c:v>
                </c:pt>
                <c:pt idx="4">
                  <c:v>0.48367667689250043</c:v>
                </c:pt>
              </c:numCache>
            </c:numRef>
          </c:val>
        </c:ser>
        <c:ser>
          <c:idx val="8"/>
          <c:order val="5"/>
          <c:tx>
            <c:strRef>
              <c:f>Results!$B$85</c:f>
              <c:strCache>
                <c:ptCount val="1"/>
                <c:pt idx="0">
                  <c:v>Other</c:v>
                </c:pt>
              </c:strCache>
            </c:strRef>
          </c:tx>
          <c:invertIfNegative val="0"/>
          <c:cat>
            <c:numRef>
              <c:f>Results!$C$74:$G$74</c:f>
              <c:numCache>
                <c:formatCode>General</c:formatCode>
                <c:ptCount val="5"/>
                <c:pt idx="0">
                  <c:v>2010</c:v>
                </c:pt>
                <c:pt idx="1">
                  <c:v>2020</c:v>
                </c:pt>
                <c:pt idx="2">
                  <c:v>2030</c:v>
                </c:pt>
                <c:pt idx="3">
                  <c:v>2040</c:v>
                </c:pt>
                <c:pt idx="4" formatCode="0">
                  <c:v>2050</c:v>
                </c:pt>
              </c:numCache>
            </c:numRef>
          </c:cat>
          <c:val>
            <c:numRef>
              <c:f>Results!$C$85:$G$85</c:f>
              <c:numCache>
                <c:formatCode>0</c:formatCode>
                <c:ptCount val="5"/>
                <c:pt idx="0">
                  <c:v>27.795157894736839</c:v>
                </c:pt>
                <c:pt idx="1">
                  <c:v>25.137442572039451</c:v>
                </c:pt>
                <c:pt idx="2">
                  <c:v>20.560088673123033</c:v>
                </c:pt>
                <c:pt idx="3">
                  <c:v>17.157103674565356</c:v>
                </c:pt>
                <c:pt idx="4">
                  <c:v>13.754118676007678</c:v>
                </c:pt>
              </c:numCache>
            </c:numRef>
          </c:val>
        </c:ser>
        <c:dLbls>
          <c:showLegendKey val="0"/>
          <c:showVal val="0"/>
          <c:showCatName val="0"/>
          <c:showSerName val="0"/>
          <c:showPercent val="0"/>
          <c:showBubbleSize val="0"/>
        </c:dLbls>
        <c:gapWidth val="150"/>
        <c:overlap val="100"/>
        <c:axId val="115428656"/>
        <c:axId val="115433752"/>
      </c:barChart>
      <c:catAx>
        <c:axId val="115428656"/>
        <c:scaling>
          <c:orientation val="minMax"/>
        </c:scaling>
        <c:delete val="0"/>
        <c:axPos val="b"/>
        <c:numFmt formatCode="General" sourceLinked="1"/>
        <c:majorTickMark val="out"/>
        <c:minorTickMark val="none"/>
        <c:tickLblPos val="nextTo"/>
        <c:crossAx val="115433752"/>
        <c:crosses val="autoZero"/>
        <c:auto val="1"/>
        <c:lblAlgn val="ctr"/>
        <c:lblOffset val="100"/>
        <c:noMultiLvlLbl val="0"/>
      </c:catAx>
      <c:valAx>
        <c:axId val="115433752"/>
        <c:scaling>
          <c:orientation val="minMax"/>
        </c:scaling>
        <c:delete val="0"/>
        <c:axPos val="l"/>
        <c:majorGridlines/>
        <c:numFmt formatCode="#,##0" sourceLinked="0"/>
        <c:majorTickMark val="out"/>
        <c:minorTickMark val="none"/>
        <c:tickLblPos val="nextTo"/>
        <c:crossAx val="115428656"/>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'Growth, Modal Shift, InfraCosts'!$BK$47</c:f>
              <c:strCache>
                <c:ptCount val="1"/>
                <c:pt idx="0">
                  <c:v>Vans (2-6 t)</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InfraCosts'!$BL$47:$BP$47</c:f>
              <c:numCache>
                <c:formatCode>#,##0</c:formatCode>
                <c:ptCount val="5"/>
                <c:pt idx="0">
                  <c:v>4056.5</c:v>
                </c:pt>
                <c:pt idx="1">
                  <c:v>5042.6687239745506</c:v>
                </c:pt>
                <c:pt idx="2">
                  <c:v>6268.5832268584054</c:v>
                </c:pt>
                <c:pt idx="3">
                  <c:v>7035.1709112000381</c:v>
                </c:pt>
                <c:pt idx="4">
                  <c:v>7801.7585955416707</c:v>
                </c:pt>
              </c:numCache>
            </c:numRef>
          </c:val>
        </c:ser>
        <c:ser>
          <c:idx val="1"/>
          <c:order val="1"/>
          <c:tx>
            <c:strRef>
              <c:f>'Growth, Modal Shift, InfraCosts'!$BK$48</c:f>
              <c:strCache>
                <c:ptCount val="1"/>
                <c:pt idx="0">
                  <c:v>National truck</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InfraCosts'!$BL$48:$BP$48</c:f>
              <c:numCache>
                <c:formatCode>#,##0</c:formatCode>
                <c:ptCount val="5"/>
                <c:pt idx="0">
                  <c:v>10002.18</c:v>
                </c:pt>
                <c:pt idx="1">
                  <c:v>12436.848617120282</c:v>
                </c:pt>
                <c:pt idx="2">
                  <c:v>15458.998244597751</c:v>
                </c:pt>
                <c:pt idx="3">
                  <c:v>17351.504554764047</c:v>
                </c:pt>
                <c:pt idx="4">
                  <c:v>19244.010864930344</c:v>
                </c:pt>
              </c:numCache>
            </c:numRef>
          </c:val>
        </c:ser>
        <c:ser>
          <c:idx val="2"/>
          <c:order val="2"/>
          <c:tx>
            <c:strRef>
              <c:f>'Growth, Modal Shift, InfraCosts'!$BK$49</c:f>
              <c:strCache>
                <c:ptCount val="1"/>
                <c:pt idx="0">
                  <c:v>International truck</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InfraCosts'!$BL$49:$BP$49</c:f>
              <c:numCache>
                <c:formatCode>#,##0</c:formatCode>
                <c:ptCount val="5"/>
                <c:pt idx="0">
                  <c:v>9748.1895000000004</c:v>
                </c:pt>
                <c:pt idx="1">
                  <c:v>10801.240970554141</c:v>
                </c:pt>
                <c:pt idx="2">
                  <c:v>12124.695893490163</c:v>
                </c:pt>
                <c:pt idx="3">
                  <c:v>12921.265434892952</c:v>
                </c:pt>
                <c:pt idx="4">
                  <c:v>13717.83497629574</c:v>
                </c:pt>
              </c:numCache>
            </c:numRef>
          </c:val>
        </c:ser>
        <c:ser>
          <c:idx val="3"/>
          <c:order val="3"/>
          <c:tx>
            <c:strRef>
              <c:f>'Growth, Modal Shift, InfraCosts'!$BK$50</c:f>
              <c:strCache>
                <c:ptCount val="1"/>
                <c:pt idx="0">
                  <c:v>National rail </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InfraCosts'!$BL$50:$BP$50</c:f>
              <c:numCache>
                <c:formatCode>#,##0</c:formatCode>
                <c:ptCount val="5"/>
                <c:pt idx="0">
                  <c:v>167</c:v>
                </c:pt>
                <c:pt idx="1">
                  <c:v>167</c:v>
                </c:pt>
                <c:pt idx="2">
                  <c:v>167</c:v>
                </c:pt>
                <c:pt idx="3">
                  <c:v>167</c:v>
                </c:pt>
                <c:pt idx="4">
                  <c:v>167</c:v>
                </c:pt>
              </c:numCache>
            </c:numRef>
          </c:val>
        </c:ser>
        <c:ser>
          <c:idx val="4"/>
          <c:order val="4"/>
          <c:tx>
            <c:strRef>
              <c:f>'Growth, Modal Shift, InfraCosts'!$BK$51</c:f>
              <c:strCache>
                <c:ptCount val="1"/>
                <c:pt idx="0">
                  <c:v>International rail (electricity)</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InfraCosts'!$BL$51:$BP$51</c:f>
              <c:numCache>
                <c:formatCode>#,##0</c:formatCode>
                <c:ptCount val="5"/>
                <c:pt idx="0">
                  <c:v>378</c:v>
                </c:pt>
                <c:pt idx="1">
                  <c:v>474.51302390573898</c:v>
                </c:pt>
                <c:pt idx="2">
                  <c:v>595.66828004277352</c:v>
                </c:pt>
                <c:pt idx="3">
                  <c:v>672.19653805705002</c:v>
                </c:pt>
                <c:pt idx="4">
                  <c:v>748.72479607132652</c:v>
                </c:pt>
              </c:numCache>
            </c:numRef>
          </c:val>
        </c:ser>
        <c:ser>
          <c:idx val="5"/>
          <c:order val="5"/>
          <c:tx>
            <c:strRef>
              <c:f>'Growth, Modal Shift, InfraCosts'!$BK$52</c:f>
              <c:strCache>
                <c:ptCount val="1"/>
                <c:pt idx="0">
                  <c:v>National cargo air</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InfraCosts'!$BL$52:$BP$52</c:f>
              <c:numCache>
                <c:formatCode>#,##0</c:formatCode>
                <c:ptCount val="5"/>
                <c:pt idx="0">
                  <c:v>1.107</c:v>
                </c:pt>
                <c:pt idx="1">
                  <c:v>1.107</c:v>
                </c:pt>
                <c:pt idx="2">
                  <c:v>1.107</c:v>
                </c:pt>
                <c:pt idx="3">
                  <c:v>1.107</c:v>
                </c:pt>
                <c:pt idx="4">
                  <c:v>1.107</c:v>
                </c:pt>
              </c:numCache>
            </c:numRef>
          </c:val>
        </c:ser>
        <c:ser>
          <c:idx val="6"/>
          <c:order val="6"/>
          <c:tx>
            <c:strRef>
              <c:f>'Growth, Modal Shift, InfraCosts'!$BK$53</c:f>
              <c:strCache>
                <c:ptCount val="1"/>
                <c:pt idx="0">
                  <c:v>Internationa cargo air</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InfraCosts'!$BL$53:$BP$53</c:f>
              <c:numCache>
                <c:formatCode>#,##0</c:formatCode>
                <c:ptCount val="5"/>
                <c:pt idx="0">
                  <c:v>588</c:v>
                </c:pt>
                <c:pt idx="1">
                  <c:v>738.13137052003844</c:v>
                </c:pt>
                <c:pt idx="2">
                  <c:v>926.59510228875888</c:v>
                </c:pt>
                <c:pt idx="3">
                  <c:v>1045.6390591998556</c:v>
                </c:pt>
                <c:pt idx="4">
                  <c:v>1164.6830161109524</c:v>
                </c:pt>
              </c:numCache>
            </c:numRef>
          </c:val>
        </c:ser>
        <c:ser>
          <c:idx val="7"/>
          <c:order val="7"/>
          <c:tx>
            <c:strRef>
              <c:f>'Growth, Modal Shift, InfraCosts'!$BK$54</c:f>
              <c:strCache>
                <c:ptCount val="1"/>
                <c:pt idx="0">
                  <c:v>National cargo sea</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InfraCosts'!$BL$54:$BP$54</c:f>
              <c:numCache>
                <c:formatCode>#,##0</c:formatCode>
                <c:ptCount val="5"/>
                <c:pt idx="0">
                  <c:v>2073</c:v>
                </c:pt>
                <c:pt idx="1">
                  <c:v>2278.5708383888164</c:v>
                </c:pt>
                <c:pt idx="2">
                  <c:v>2504.5272868094135</c:v>
                </c:pt>
                <c:pt idx="3">
                  <c:v>2629.0167632501516</c:v>
                </c:pt>
                <c:pt idx="4">
                  <c:v>2753.5062396908893</c:v>
                </c:pt>
              </c:numCache>
            </c:numRef>
          </c:val>
        </c:ser>
        <c:ser>
          <c:idx val="8"/>
          <c:order val="8"/>
          <c:tx>
            <c:strRef>
              <c:f>'Growth, Modal Shift, InfraCosts'!$BK$55</c:f>
              <c:strCache>
                <c:ptCount val="1"/>
                <c:pt idx="0">
                  <c:v>International cargo sea</c:v>
                </c:pt>
              </c:strCache>
            </c:strRef>
          </c:tx>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InfraCosts'!$BL$55:$BP$55</c:f>
              <c:numCache>
                <c:formatCode>#,##0</c:formatCode>
                <c:ptCount val="5"/>
                <c:pt idx="0">
                  <c:v>59694</c:v>
                </c:pt>
                <c:pt idx="1">
                  <c:v>74935.398013304715</c:v>
                </c:pt>
                <c:pt idx="2">
                  <c:v>94068.312986437362</c:v>
                </c:pt>
                <c:pt idx="3">
                  <c:v>106153.70408142207</c:v>
                </c:pt>
                <c:pt idx="4">
                  <c:v>118239.09517640679</c:v>
                </c:pt>
              </c:numCache>
            </c:numRef>
          </c:val>
        </c:ser>
        <c:dLbls>
          <c:showLegendKey val="0"/>
          <c:showVal val="0"/>
          <c:showCatName val="0"/>
          <c:showSerName val="0"/>
          <c:showPercent val="0"/>
          <c:showBubbleSize val="0"/>
        </c:dLbls>
        <c:gapWidth val="150"/>
        <c:axId val="117396864"/>
        <c:axId val="117392160"/>
      </c:barChart>
      <c:catAx>
        <c:axId val="117396864"/>
        <c:scaling>
          <c:orientation val="minMax"/>
        </c:scaling>
        <c:delete val="0"/>
        <c:axPos val="b"/>
        <c:numFmt formatCode="General" sourceLinked="1"/>
        <c:majorTickMark val="out"/>
        <c:minorTickMark val="none"/>
        <c:tickLblPos val="nextTo"/>
        <c:crossAx val="117392160"/>
        <c:crosses val="autoZero"/>
        <c:auto val="1"/>
        <c:lblAlgn val="ctr"/>
        <c:lblOffset val="100"/>
        <c:noMultiLvlLbl val="0"/>
      </c:catAx>
      <c:valAx>
        <c:axId val="117392160"/>
        <c:scaling>
          <c:orientation val="minMax"/>
          <c:min val="0"/>
        </c:scaling>
        <c:delete val="0"/>
        <c:axPos val="l"/>
        <c:majorGridlines/>
        <c:title>
          <c:tx>
            <c:strRef>
              <c:f>'Growth, Modal Shift, InfraCosts'!$AQ$5</c:f>
              <c:strCache>
                <c:ptCount val="1"/>
                <c:pt idx="0">
                  <c:v>Transport Demand (Mpkm)</c:v>
                </c:pt>
              </c:strCache>
            </c:strRef>
          </c:tx>
          <c:overlay val="0"/>
          <c:txPr>
            <a:bodyPr rot="-5400000" vert="horz"/>
            <a:lstStyle/>
            <a:p>
              <a:pPr>
                <a:defRPr/>
              </a:pPr>
              <a:endParaRPr lang="en-US"/>
            </a:p>
          </c:txPr>
        </c:title>
        <c:numFmt formatCode="#,##0" sourceLinked="1"/>
        <c:majorTickMark val="out"/>
        <c:minorTickMark val="none"/>
        <c:tickLblPos val="nextTo"/>
        <c:crossAx val="117396864"/>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'Growth, Modal Shift, InfraCosts'!$BK$6</c:f>
              <c:strCache>
                <c:ptCount val="1"/>
                <c:pt idx="0">
                  <c:v>Bicycle/walking</c:v>
                </c:pt>
              </c:strCache>
            </c:strRef>
          </c:tx>
          <c:spPr>
            <a:solidFill>
              <a:srgbClr val="92D050"/>
            </a:solidFill>
          </c:spPr>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InfraCosts'!$BL$6:$BP$6</c:f>
              <c:numCache>
                <c:formatCode>#,##0</c:formatCode>
                <c:ptCount val="5"/>
                <c:pt idx="0">
                  <c:v>3248.3223933319796</c:v>
                </c:pt>
                <c:pt idx="1">
                  <c:v>3247.9975610926463</c:v>
                </c:pt>
                <c:pt idx="2">
                  <c:v>3247.9975610926463</c:v>
                </c:pt>
                <c:pt idx="3">
                  <c:v>3247.9975610926463</c:v>
                </c:pt>
                <c:pt idx="4">
                  <c:v>3247.9975610926463</c:v>
                </c:pt>
              </c:numCache>
            </c:numRef>
          </c:val>
        </c:ser>
        <c:ser>
          <c:idx val="1"/>
          <c:order val="1"/>
          <c:tx>
            <c:strRef>
              <c:f>'Growth, Modal Shift, InfraCosts'!$BK$7</c:f>
              <c:strCache>
                <c:ptCount val="1"/>
                <c:pt idx="0">
                  <c:v>Cars and vans &lt; 2 t</c:v>
                </c:pt>
              </c:strCache>
            </c:strRef>
          </c:tx>
          <c:spPr>
            <a:solidFill>
              <a:schemeClr val="tx1">
                <a:lumMod val="65000"/>
                <a:lumOff val="35000"/>
              </a:schemeClr>
            </a:solidFill>
          </c:spPr>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InfraCosts'!$BL$7:$BP$7</c:f>
              <c:numCache>
                <c:formatCode>#,##0</c:formatCode>
                <c:ptCount val="5"/>
                <c:pt idx="0">
                  <c:v>51784.948215000004</c:v>
                </c:pt>
                <c:pt idx="1">
                  <c:v>64428.817973931888</c:v>
                </c:pt>
                <c:pt idx="2">
                  <c:v>79911.906492251175</c:v>
                </c:pt>
                <c:pt idx="3">
                  <c:v>89496.135021296679</c:v>
                </c:pt>
                <c:pt idx="4">
                  <c:v>99080.363550342168</c:v>
                </c:pt>
              </c:numCache>
            </c:numRef>
          </c:val>
        </c:ser>
        <c:ser>
          <c:idx val="2"/>
          <c:order val="2"/>
          <c:tx>
            <c:strRef>
              <c:f>'Growth, Modal Shift, InfraCosts'!$BK$8</c:f>
              <c:strCache>
                <c:ptCount val="1"/>
                <c:pt idx="0">
                  <c:v>Rail</c:v>
                </c:pt>
              </c:strCache>
            </c:strRef>
          </c:tx>
          <c:spPr>
            <a:solidFill>
              <a:schemeClr val="accent6"/>
            </a:solidFill>
          </c:spPr>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InfraCosts'!$BL$8:$BP$8</c:f>
              <c:numCache>
                <c:formatCode>#,##0</c:formatCode>
                <c:ptCount val="5"/>
                <c:pt idx="0">
                  <c:v>7277.9250000000002</c:v>
                </c:pt>
                <c:pt idx="1">
                  <c:v>7461.933747396828</c:v>
                </c:pt>
                <c:pt idx="2">
                  <c:v>8366.4275096792499</c:v>
                </c:pt>
                <c:pt idx="3">
                  <c:v>8472.2591090007463</c:v>
                </c:pt>
                <c:pt idx="4">
                  <c:v>8578.0907083222428</c:v>
                </c:pt>
              </c:numCache>
            </c:numRef>
          </c:val>
        </c:ser>
        <c:ser>
          <c:idx val="3"/>
          <c:order val="3"/>
          <c:tx>
            <c:strRef>
              <c:f>'Growth, Modal Shift, InfraCosts'!$BK$9</c:f>
              <c:strCache>
                <c:ptCount val="1"/>
                <c:pt idx="0">
                  <c:v>Bus</c:v>
                </c:pt>
              </c:strCache>
            </c:strRef>
          </c:tx>
          <c:spPr>
            <a:solidFill>
              <a:srgbClr val="009999"/>
            </a:solidFill>
          </c:spPr>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InfraCosts'!$BL$9:$BP$9</c:f>
              <c:numCache>
                <c:formatCode>#,##0</c:formatCode>
                <c:ptCount val="5"/>
                <c:pt idx="0">
                  <c:v>9105</c:v>
                </c:pt>
                <c:pt idx="1">
                  <c:v>9335.1984680573551</c:v>
                </c:pt>
                <c:pt idx="2">
                  <c:v>9571.2215346330649</c:v>
                </c:pt>
                <c:pt idx="3">
                  <c:v>9692.2932443082736</c:v>
                </c:pt>
                <c:pt idx="4">
                  <c:v>9813.3649539834823</c:v>
                </c:pt>
              </c:numCache>
            </c:numRef>
          </c:val>
        </c:ser>
        <c:ser>
          <c:idx val="4"/>
          <c:order val="4"/>
          <c:tx>
            <c:strRef>
              <c:f>'Growth, Modal Shift, InfraCosts'!$BK$10</c:f>
              <c:strCache>
                <c:ptCount val="1"/>
                <c:pt idx="0">
                  <c:v>Air</c:v>
                </c:pt>
              </c:strCache>
            </c:strRef>
          </c:tx>
          <c:spPr>
            <a:solidFill>
              <a:schemeClr val="tx2">
                <a:lumMod val="75000"/>
              </a:schemeClr>
            </a:solidFill>
          </c:spPr>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InfraCosts'!$BL$10:$BP$10</c:f>
              <c:numCache>
                <c:formatCode>#,##0</c:formatCode>
                <c:ptCount val="5"/>
                <c:pt idx="0">
                  <c:v>16844.599999999999</c:v>
                </c:pt>
                <c:pt idx="1">
                  <c:v>23081.162329105435</c:v>
                </c:pt>
                <c:pt idx="2">
                  <c:v>30719.307624814424</c:v>
                </c:pt>
                <c:pt idx="3">
                  <c:v>35844.016408741249</c:v>
                </c:pt>
                <c:pt idx="4">
                  <c:v>40968.725192668076</c:v>
                </c:pt>
              </c:numCache>
            </c:numRef>
          </c:val>
        </c:ser>
        <c:ser>
          <c:idx val="5"/>
          <c:order val="5"/>
          <c:tx>
            <c:strRef>
              <c:f>'Growth, Modal Shift, InfraCosts'!$BK$11</c:f>
              <c:strCache>
                <c:ptCount val="1"/>
                <c:pt idx="0">
                  <c:v>Sea</c:v>
                </c:pt>
              </c:strCache>
            </c:strRef>
          </c:tx>
          <c:spPr>
            <a:solidFill>
              <a:schemeClr val="accent5"/>
            </a:solidFill>
          </c:spPr>
          <c:invertIfNegative val="0"/>
          <c:cat>
            <c:numRef>
              <c:f>'Growth, Modal Shift, InfraCosts'!$BL$5:$BP$5</c:f>
              <c:numCache>
                <c:formatCode>General</c:formatCode>
                <c:ptCount val="5"/>
                <c:pt idx="0">
                  <c:v>2010</c:v>
                </c:pt>
                <c:pt idx="1">
                  <c:v>2020</c:v>
                </c:pt>
                <c:pt idx="2">
                  <c:v>2030</c:v>
                </c:pt>
                <c:pt idx="3">
                  <c:v>2040</c:v>
                </c:pt>
                <c:pt idx="4">
                  <c:v>2050</c:v>
                </c:pt>
              </c:numCache>
            </c:numRef>
          </c:cat>
          <c:val>
            <c:numRef>
              <c:f>'Growth, Modal Shift, InfraCosts'!$BL$11:$BP$11</c:f>
              <c:numCache>
                <c:formatCode>#,##0</c:formatCode>
                <c:ptCount val="5"/>
                <c:pt idx="0">
                  <c:v>924.7</c:v>
                </c:pt>
                <c:pt idx="1">
                  <c:v>1011.3757121804953</c:v>
                </c:pt>
                <c:pt idx="2">
                  <c:v>1106.1758745415855</c:v>
                </c:pt>
                <c:pt idx="3">
                  <c:v>1158.1403657443166</c:v>
                </c:pt>
                <c:pt idx="4">
                  <c:v>1210.1048569470477</c:v>
                </c:pt>
              </c:numCache>
            </c:numRef>
          </c:val>
        </c:ser>
        <c:dLbls>
          <c:showLegendKey val="0"/>
          <c:showVal val="0"/>
          <c:showCatName val="0"/>
          <c:showSerName val="0"/>
          <c:showPercent val="0"/>
          <c:showBubbleSize val="0"/>
        </c:dLbls>
        <c:gapWidth val="150"/>
        <c:overlap val="100"/>
        <c:axId val="117394512"/>
        <c:axId val="117398040"/>
      </c:barChart>
      <c:catAx>
        <c:axId val="117394512"/>
        <c:scaling>
          <c:orientation val="minMax"/>
        </c:scaling>
        <c:delete val="0"/>
        <c:axPos val="b"/>
        <c:numFmt formatCode="General" sourceLinked="1"/>
        <c:majorTickMark val="out"/>
        <c:minorTickMark val="none"/>
        <c:tickLblPos val="nextTo"/>
        <c:crossAx val="117398040"/>
        <c:crosses val="autoZero"/>
        <c:auto val="1"/>
        <c:lblAlgn val="ctr"/>
        <c:lblOffset val="100"/>
        <c:noMultiLvlLbl val="0"/>
      </c:catAx>
      <c:valAx>
        <c:axId val="117398040"/>
        <c:scaling>
          <c:orientation val="minMax"/>
          <c:min val="0"/>
        </c:scaling>
        <c:delete val="0"/>
        <c:axPos val="l"/>
        <c:majorGridlines>
          <c:spPr>
            <a:ln>
              <a:prstDash val="sysDot"/>
            </a:ln>
          </c:spPr>
        </c:majorGridlines>
        <c:title>
          <c:tx>
            <c:strRef>
              <c:f>'Growth, Modal Shift, InfraCosts'!$AQ$5</c:f>
              <c:strCache>
                <c:ptCount val="1"/>
                <c:pt idx="0">
                  <c:v>Transport Demand (Mpkm)</c:v>
                </c:pt>
              </c:strCache>
            </c:strRef>
          </c:tx>
          <c:overlay val="0"/>
          <c:txPr>
            <a:bodyPr rot="-5400000" vert="horz"/>
            <a:lstStyle/>
            <a:p>
              <a:pPr>
                <a:defRPr/>
              </a:pPr>
              <a:endParaRPr lang="en-US"/>
            </a:p>
          </c:txPr>
        </c:title>
        <c:numFmt formatCode="#,##0" sourceLinked="1"/>
        <c:majorTickMark val="out"/>
        <c:minorTickMark val="none"/>
        <c:tickLblPos val="nextTo"/>
        <c:crossAx val="117394512"/>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'Growth, Modal Shift, InfraCosts'!$BK$17</c:f>
              <c:strCache>
                <c:ptCount val="1"/>
                <c:pt idx="0">
                  <c:v>Bicycle/walking</c:v>
                </c:pt>
              </c:strCache>
            </c:strRef>
          </c:tx>
          <c:invertIfNegative val="0"/>
          <c:cat>
            <c:numRef>
              <c:f>'Growth, Modal Shift, InfraCosts'!$BL$16:$BP$16</c:f>
              <c:numCache>
                <c:formatCode>General</c:formatCode>
                <c:ptCount val="5"/>
                <c:pt idx="0">
                  <c:v>2010</c:v>
                </c:pt>
                <c:pt idx="1">
                  <c:v>2020</c:v>
                </c:pt>
                <c:pt idx="2">
                  <c:v>2030</c:v>
                </c:pt>
                <c:pt idx="3">
                  <c:v>2040</c:v>
                </c:pt>
                <c:pt idx="4">
                  <c:v>2050</c:v>
                </c:pt>
              </c:numCache>
            </c:numRef>
          </c:cat>
          <c:val>
            <c:numRef>
              <c:f>'Growth, Modal Shift, InfraCosts'!$BL$17:$BP$17</c:f>
              <c:numCache>
                <c:formatCode>0%</c:formatCode>
                <c:ptCount val="5"/>
                <c:pt idx="0">
                  <c:v>3.6422092753706815E-2</c:v>
                </c:pt>
                <c:pt idx="1">
                  <c:v>2.9917129005376953E-2</c:v>
                </c:pt>
                <c:pt idx="2">
                  <c:v>2.4435174250041585E-2</c:v>
                </c:pt>
                <c:pt idx="3">
                  <c:v>2.1959158122139309E-2</c:v>
                </c:pt>
                <c:pt idx="4">
                  <c:v>1.993876330117534E-2</c:v>
                </c:pt>
              </c:numCache>
            </c:numRef>
          </c:val>
        </c:ser>
        <c:ser>
          <c:idx val="1"/>
          <c:order val="1"/>
          <c:tx>
            <c:strRef>
              <c:f>'Growth, Modal Shift, InfraCosts'!$BK$18</c:f>
              <c:strCache>
                <c:ptCount val="1"/>
                <c:pt idx="0">
                  <c:v>Cars and vans &lt; 2 t</c:v>
                </c:pt>
              </c:strCache>
            </c:strRef>
          </c:tx>
          <c:invertIfNegative val="0"/>
          <c:cat>
            <c:numRef>
              <c:f>'Growth, Modal Shift, InfraCosts'!$BL$16:$BP$16</c:f>
              <c:numCache>
                <c:formatCode>General</c:formatCode>
                <c:ptCount val="5"/>
                <c:pt idx="0">
                  <c:v>2010</c:v>
                </c:pt>
                <c:pt idx="1">
                  <c:v>2020</c:v>
                </c:pt>
                <c:pt idx="2">
                  <c:v>2030</c:v>
                </c:pt>
                <c:pt idx="3">
                  <c:v>2040</c:v>
                </c:pt>
                <c:pt idx="4">
                  <c:v>2050</c:v>
                </c:pt>
              </c:numCache>
            </c:numRef>
          </c:cat>
          <c:val>
            <c:numRef>
              <c:f>'Growth, Modal Shift, InfraCosts'!$BL$18:$BP$18</c:f>
              <c:numCache>
                <c:formatCode>0%</c:formatCode>
                <c:ptCount val="5"/>
                <c:pt idx="0">
                  <c:v>0.58064316245344827</c:v>
                </c:pt>
                <c:pt idx="1">
                  <c:v>0.59345034062822333</c:v>
                </c:pt>
                <c:pt idx="2">
                  <c:v>0.60118929373034991</c:v>
                </c:pt>
                <c:pt idx="3">
                  <c:v>0.60506812067674642</c:v>
                </c:pt>
                <c:pt idx="4">
                  <c:v>0.60823318967028084</c:v>
                </c:pt>
              </c:numCache>
            </c:numRef>
          </c:val>
        </c:ser>
        <c:ser>
          <c:idx val="2"/>
          <c:order val="2"/>
          <c:tx>
            <c:strRef>
              <c:f>'Growth, Modal Shift, InfraCosts'!$BK$19</c:f>
              <c:strCache>
                <c:ptCount val="1"/>
                <c:pt idx="0">
                  <c:v>Rail</c:v>
                </c:pt>
              </c:strCache>
            </c:strRef>
          </c:tx>
          <c:invertIfNegative val="0"/>
          <c:cat>
            <c:numRef>
              <c:f>'Growth, Modal Shift, InfraCosts'!$BL$16:$BP$16</c:f>
              <c:numCache>
                <c:formatCode>General</c:formatCode>
                <c:ptCount val="5"/>
                <c:pt idx="0">
                  <c:v>2010</c:v>
                </c:pt>
                <c:pt idx="1">
                  <c:v>2020</c:v>
                </c:pt>
                <c:pt idx="2">
                  <c:v>2030</c:v>
                </c:pt>
                <c:pt idx="3">
                  <c:v>2040</c:v>
                </c:pt>
                <c:pt idx="4">
                  <c:v>2050</c:v>
                </c:pt>
              </c:numCache>
            </c:numRef>
          </c:cat>
          <c:val>
            <c:numRef>
              <c:f>'Growth, Modal Shift, InfraCosts'!$BL$19:$BP$19</c:f>
              <c:numCache>
                <c:formatCode>0%</c:formatCode>
                <c:ptCount val="5"/>
                <c:pt idx="0">
                  <c:v>8.1604356743856826E-2</c:v>
                </c:pt>
                <c:pt idx="1">
                  <c:v>6.8731466188462154E-2</c:v>
                </c:pt>
                <c:pt idx="2">
                  <c:v>6.2941892721305098E-2</c:v>
                </c:pt>
                <c:pt idx="3">
                  <c:v>5.727950034657546E-2</c:v>
                </c:pt>
                <c:pt idx="4">
                  <c:v>5.2659066699456199E-2</c:v>
                </c:pt>
              </c:numCache>
            </c:numRef>
          </c:val>
        </c:ser>
        <c:ser>
          <c:idx val="3"/>
          <c:order val="3"/>
          <c:tx>
            <c:strRef>
              <c:f>'Growth, Modal Shift, InfraCosts'!$BK$20</c:f>
              <c:strCache>
                <c:ptCount val="1"/>
                <c:pt idx="0">
                  <c:v>Bus</c:v>
                </c:pt>
              </c:strCache>
            </c:strRef>
          </c:tx>
          <c:invertIfNegative val="0"/>
          <c:cat>
            <c:numRef>
              <c:f>'Growth, Modal Shift, InfraCosts'!$BL$16:$BP$16</c:f>
              <c:numCache>
                <c:formatCode>General</c:formatCode>
                <c:ptCount val="5"/>
                <c:pt idx="0">
                  <c:v>2010</c:v>
                </c:pt>
                <c:pt idx="1">
                  <c:v>2020</c:v>
                </c:pt>
                <c:pt idx="2">
                  <c:v>2030</c:v>
                </c:pt>
                <c:pt idx="3">
                  <c:v>2040</c:v>
                </c:pt>
                <c:pt idx="4">
                  <c:v>2050</c:v>
                </c:pt>
              </c:numCache>
            </c:numRef>
          </c:cat>
          <c:val>
            <c:numRef>
              <c:f>'Growth, Modal Shift, InfraCosts'!$BL$20:$BP$20</c:f>
              <c:numCache>
                <c:formatCode>0%</c:formatCode>
                <c:ptCount val="5"/>
                <c:pt idx="0">
                  <c:v>0.10209059150139861</c:v>
                </c:pt>
                <c:pt idx="1">
                  <c:v>8.598600571784816E-2</c:v>
                </c:pt>
                <c:pt idx="2">
                  <c:v>7.200573940881673E-2</c:v>
                </c:pt>
                <c:pt idx="3">
                  <c:v>6.5527943268008218E-2</c:v>
                </c:pt>
                <c:pt idx="4">
                  <c:v>6.0242151456450822E-2</c:v>
                </c:pt>
              </c:numCache>
            </c:numRef>
          </c:val>
        </c:ser>
        <c:ser>
          <c:idx val="4"/>
          <c:order val="4"/>
          <c:tx>
            <c:strRef>
              <c:f>'Growth, Modal Shift, InfraCosts'!$BK$21</c:f>
              <c:strCache>
                <c:ptCount val="1"/>
                <c:pt idx="0">
                  <c:v>Air</c:v>
                </c:pt>
              </c:strCache>
            </c:strRef>
          </c:tx>
          <c:invertIfNegative val="0"/>
          <c:cat>
            <c:numRef>
              <c:f>'Growth, Modal Shift, InfraCosts'!$BL$16:$BP$16</c:f>
              <c:numCache>
                <c:formatCode>General</c:formatCode>
                <c:ptCount val="5"/>
                <c:pt idx="0">
                  <c:v>2010</c:v>
                </c:pt>
                <c:pt idx="1">
                  <c:v>2020</c:v>
                </c:pt>
                <c:pt idx="2">
                  <c:v>2030</c:v>
                </c:pt>
                <c:pt idx="3">
                  <c:v>2040</c:v>
                </c:pt>
                <c:pt idx="4">
                  <c:v>2050</c:v>
                </c:pt>
              </c:numCache>
            </c:numRef>
          </c:cat>
          <c:val>
            <c:numRef>
              <c:f>'Growth, Modal Shift, InfraCosts'!$BL$21:$BP$21</c:f>
              <c:numCache>
                <c:formatCode>0%</c:formatCode>
                <c:ptCount val="5"/>
                <c:pt idx="0">
                  <c:v>0.18887151868253255</c:v>
                </c:pt>
                <c:pt idx="1">
                  <c:v>0.21259933174383239</c:v>
                </c:pt>
                <c:pt idx="2">
                  <c:v>0.23110597238270539</c:v>
                </c:pt>
                <c:pt idx="3">
                  <c:v>0.24233528789575765</c:v>
                </c:pt>
                <c:pt idx="4">
                  <c:v>0.25149825361713302</c:v>
                </c:pt>
              </c:numCache>
            </c:numRef>
          </c:val>
        </c:ser>
        <c:ser>
          <c:idx val="5"/>
          <c:order val="5"/>
          <c:tx>
            <c:strRef>
              <c:f>'Growth, Modal Shift, InfraCosts'!$BK$22</c:f>
              <c:strCache>
                <c:ptCount val="1"/>
                <c:pt idx="0">
                  <c:v>Sea</c:v>
                </c:pt>
              </c:strCache>
            </c:strRef>
          </c:tx>
          <c:invertIfNegative val="0"/>
          <c:cat>
            <c:numRef>
              <c:f>'Growth, Modal Shift, InfraCosts'!$BL$16:$BP$16</c:f>
              <c:numCache>
                <c:formatCode>General</c:formatCode>
                <c:ptCount val="5"/>
                <c:pt idx="0">
                  <c:v>2010</c:v>
                </c:pt>
                <c:pt idx="1">
                  <c:v>2020</c:v>
                </c:pt>
                <c:pt idx="2">
                  <c:v>2030</c:v>
                </c:pt>
                <c:pt idx="3">
                  <c:v>2040</c:v>
                </c:pt>
                <c:pt idx="4">
                  <c:v>2050</c:v>
                </c:pt>
              </c:numCache>
            </c:numRef>
          </c:cat>
          <c:val>
            <c:numRef>
              <c:f>'Growth, Modal Shift, InfraCosts'!$BL$22:$BP$22</c:f>
              <c:numCache>
                <c:formatCode>0%</c:formatCode>
                <c:ptCount val="5"/>
                <c:pt idx="0">
                  <c:v>1.0368277865056924E-2</c:v>
                </c:pt>
                <c:pt idx="1">
                  <c:v>9.3157267162571611E-3</c:v>
                </c:pt>
                <c:pt idx="2">
                  <c:v>8.3219275067813962E-3</c:v>
                </c:pt>
                <c:pt idx="3">
                  <c:v>7.8299896907731339E-3</c:v>
                </c:pt>
                <c:pt idx="4">
                  <c:v>7.4285752555038938E-3</c:v>
                </c:pt>
              </c:numCache>
            </c:numRef>
          </c:val>
        </c:ser>
        <c:dLbls>
          <c:showLegendKey val="0"/>
          <c:showVal val="0"/>
          <c:showCatName val="0"/>
          <c:showSerName val="0"/>
          <c:showPercent val="0"/>
          <c:showBubbleSize val="0"/>
        </c:dLbls>
        <c:gapWidth val="150"/>
        <c:overlap val="100"/>
        <c:axId val="495437888"/>
        <c:axId val="495444160"/>
      </c:barChart>
      <c:catAx>
        <c:axId val="495437888"/>
        <c:scaling>
          <c:orientation val="minMax"/>
        </c:scaling>
        <c:delete val="0"/>
        <c:axPos val="b"/>
        <c:numFmt formatCode="General" sourceLinked="1"/>
        <c:majorTickMark val="out"/>
        <c:minorTickMark val="none"/>
        <c:tickLblPos val="nextTo"/>
        <c:crossAx val="495444160"/>
        <c:crosses val="autoZero"/>
        <c:auto val="1"/>
        <c:lblAlgn val="ctr"/>
        <c:lblOffset val="100"/>
        <c:noMultiLvlLbl val="0"/>
      </c:catAx>
      <c:valAx>
        <c:axId val="495444160"/>
        <c:scaling>
          <c:orientation val="minMax"/>
          <c:min val="0"/>
        </c:scaling>
        <c:delete val="0"/>
        <c:axPos val="l"/>
        <c:majorGridlines/>
        <c:title>
          <c:tx>
            <c:strRef>
              <c:f>'Growth, Modal Shift, InfraCosts'!$AQ$5</c:f>
              <c:strCache>
                <c:ptCount val="1"/>
                <c:pt idx="0">
                  <c:v>Transport Demand (Mpkm)</c:v>
                </c:pt>
              </c:strCache>
            </c:strRef>
          </c:tx>
          <c:overlay val="0"/>
          <c:txPr>
            <a:bodyPr rot="-5400000" vert="horz"/>
            <a:lstStyle/>
            <a:p>
              <a:pPr>
                <a:defRPr/>
              </a:pPr>
              <a:endParaRPr lang="en-US"/>
            </a:p>
          </c:txPr>
        </c:title>
        <c:numFmt formatCode="0%" sourceLinked="1"/>
        <c:majorTickMark val="out"/>
        <c:minorTickMark val="none"/>
        <c:tickLblPos val="nextTo"/>
        <c:crossAx val="495437888"/>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'Growth, Modal Shift, InfraCosts'!$BK$47</c:f>
              <c:strCache>
                <c:ptCount val="1"/>
                <c:pt idx="0">
                  <c:v>Vans (2-6 t)</c:v>
                </c:pt>
              </c:strCache>
            </c:strRef>
          </c:tx>
          <c:spPr>
            <a:solidFill>
              <a:schemeClr val="tx1"/>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InfraCosts'!$BL$47:$BP$47</c:f>
              <c:numCache>
                <c:formatCode>#,##0</c:formatCode>
                <c:ptCount val="5"/>
                <c:pt idx="0">
                  <c:v>4056.5</c:v>
                </c:pt>
                <c:pt idx="1">
                  <c:v>5042.6687239745506</c:v>
                </c:pt>
                <c:pt idx="2">
                  <c:v>6268.5832268584054</c:v>
                </c:pt>
                <c:pt idx="3">
                  <c:v>7035.1709112000381</c:v>
                </c:pt>
                <c:pt idx="4">
                  <c:v>7801.7585955416707</c:v>
                </c:pt>
              </c:numCache>
            </c:numRef>
          </c:val>
        </c:ser>
        <c:ser>
          <c:idx val="1"/>
          <c:order val="1"/>
          <c:tx>
            <c:strRef>
              <c:f>'Growth, Modal Shift, InfraCosts'!$BK$48</c:f>
              <c:strCache>
                <c:ptCount val="1"/>
                <c:pt idx="0">
                  <c:v>National truck</c:v>
                </c:pt>
              </c:strCache>
            </c:strRef>
          </c:tx>
          <c:spPr>
            <a:solidFill>
              <a:schemeClr val="tx1">
                <a:lumMod val="50000"/>
                <a:lumOff val="50000"/>
              </a:schemeClr>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InfraCosts'!$BL$48:$BP$48</c:f>
              <c:numCache>
                <c:formatCode>#,##0</c:formatCode>
                <c:ptCount val="5"/>
                <c:pt idx="0">
                  <c:v>10002.18</c:v>
                </c:pt>
                <c:pt idx="1">
                  <c:v>12436.848617120282</c:v>
                </c:pt>
                <c:pt idx="2">
                  <c:v>15458.998244597751</c:v>
                </c:pt>
                <c:pt idx="3">
                  <c:v>17351.504554764047</c:v>
                </c:pt>
                <c:pt idx="4">
                  <c:v>19244.010864930344</c:v>
                </c:pt>
              </c:numCache>
            </c:numRef>
          </c:val>
        </c:ser>
        <c:ser>
          <c:idx val="2"/>
          <c:order val="2"/>
          <c:tx>
            <c:strRef>
              <c:f>'Growth, Modal Shift, InfraCosts'!$BK$49</c:f>
              <c:strCache>
                <c:ptCount val="1"/>
                <c:pt idx="0">
                  <c:v>International truck</c:v>
                </c:pt>
              </c:strCache>
            </c:strRef>
          </c:tx>
          <c:spPr>
            <a:solidFill>
              <a:schemeClr val="bg1">
                <a:lumMod val="75000"/>
              </a:schemeClr>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InfraCosts'!$BL$49:$BP$49</c:f>
              <c:numCache>
                <c:formatCode>#,##0</c:formatCode>
                <c:ptCount val="5"/>
                <c:pt idx="0">
                  <c:v>9748.1895000000004</c:v>
                </c:pt>
                <c:pt idx="1">
                  <c:v>10801.240970554141</c:v>
                </c:pt>
                <c:pt idx="2">
                  <c:v>12124.695893490163</c:v>
                </c:pt>
                <c:pt idx="3">
                  <c:v>12921.265434892952</c:v>
                </c:pt>
                <c:pt idx="4">
                  <c:v>13717.83497629574</c:v>
                </c:pt>
              </c:numCache>
            </c:numRef>
          </c:val>
        </c:ser>
        <c:ser>
          <c:idx val="3"/>
          <c:order val="3"/>
          <c:tx>
            <c:strRef>
              <c:f>'Growth, Modal Shift, InfraCosts'!$BK$50</c:f>
              <c:strCache>
                <c:ptCount val="1"/>
                <c:pt idx="0">
                  <c:v>National rail </c:v>
                </c:pt>
              </c:strCache>
            </c:strRef>
          </c:tx>
          <c:spPr>
            <a:solidFill>
              <a:schemeClr val="accent6"/>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InfraCosts'!$BL$50:$BP$50</c:f>
              <c:numCache>
                <c:formatCode>#,##0</c:formatCode>
                <c:ptCount val="5"/>
                <c:pt idx="0">
                  <c:v>167</c:v>
                </c:pt>
                <c:pt idx="1">
                  <c:v>167</c:v>
                </c:pt>
                <c:pt idx="2">
                  <c:v>167</c:v>
                </c:pt>
                <c:pt idx="3">
                  <c:v>167</c:v>
                </c:pt>
                <c:pt idx="4">
                  <c:v>167</c:v>
                </c:pt>
              </c:numCache>
            </c:numRef>
          </c:val>
        </c:ser>
        <c:ser>
          <c:idx val="4"/>
          <c:order val="4"/>
          <c:tx>
            <c:strRef>
              <c:f>'Growth, Modal Shift, InfraCosts'!$BK$51</c:f>
              <c:strCache>
                <c:ptCount val="1"/>
                <c:pt idx="0">
                  <c:v>International rail (electricity)</c:v>
                </c:pt>
              </c:strCache>
            </c:strRef>
          </c:tx>
          <c:spPr>
            <a:solidFill>
              <a:schemeClr val="accent6">
                <a:lumMod val="20000"/>
                <a:lumOff val="80000"/>
              </a:schemeClr>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InfraCosts'!$BL$51:$BP$51</c:f>
              <c:numCache>
                <c:formatCode>#,##0</c:formatCode>
                <c:ptCount val="5"/>
                <c:pt idx="0">
                  <c:v>378</c:v>
                </c:pt>
                <c:pt idx="1">
                  <c:v>474.51302390573898</c:v>
                </c:pt>
                <c:pt idx="2">
                  <c:v>595.66828004277352</c:v>
                </c:pt>
                <c:pt idx="3">
                  <c:v>672.19653805705002</c:v>
                </c:pt>
                <c:pt idx="4">
                  <c:v>748.72479607132652</c:v>
                </c:pt>
              </c:numCache>
            </c:numRef>
          </c:val>
        </c:ser>
        <c:ser>
          <c:idx val="5"/>
          <c:order val="5"/>
          <c:tx>
            <c:strRef>
              <c:f>'Growth, Modal Shift, InfraCosts'!$BK$52</c:f>
              <c:strCache>
                <c:ptCount val="1"/>
                <c:pt idx="0">
                  <c:v>National cargo air</c:v>
                </c:pt>
              </c:strCache>
            </c:strRef>
          </c:tx>
          <c:spPr>
            <a:solidFill>
              <a:schemeClr val="tx2">
                <a:lumMod val="75000"/>
              </a:schemeClr>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InfraCosts'!$BL$52:$BP$52</c:f>
              <c:numCache>
                <c:formatCode>#,##0</c:formatCode>
                <c:ptCount val="5"/>
                <c:pt idx="0">
                  <c:v>1.107</c:v>
                </c:pt>
                <c:pt idx="1">
                  <c:v>1.107</c:v>
                </c:pt>
                <c:pt idx="2">
                  <c:v>1.107</c:v>
                </c:pt>
                <c:pt idx="3">
                  <c:v>1.107</c:v>
                </c:pt>
                <c:pt idx="4">
                  <c:v>1.107</c:v>
                </c:pt>
              </c:numCache>
            </c:numRef>
          </c:val>
        </c:ser>
        <c:ser>
          <c:idx val="6"/>
          <c:order val="6"/>
          <c:tx>
            <c:strRef>
              <c:f>'Growth, Modal Shift, InfraCosts'!$BK$53</c:f>
              <c:strCache>
                <c:ptCount val="1"/>
                <c:pt idx="0">
                  <c:v>Internationa cargo air</c:v>
                </c:pt>
              </c:strCache>
            </c:strRef>
          </c:tx>
          <c:spPr>
            <a:solidFill>
              <a:schemeClr val="accent5"/>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InfraCosts'!$BL$53:$BP$53</c:f>
              <c:numCache>
                <c:formatCode>#,##0</c:formatCode>
                <c:ptCount val="5"/>
                <c:pt idx="0">
                  <c:v>588</c:v>
                </c:pt>
                <c:pt idx="1">
                  <c:v>738.13137052003844</c:v>
                </c:pt>
                <c:pt idx="2">
                  <c:v>926.59510228875888</c:v>
                </c:pt>
                <c:pt idx="3">
                  <c:v>1045.6390591998556</c:v>
                </c:pt>
                <c:pt idx="4">
                  <c:v>1164.6830161109524</c:v>
                </c:pt>
              </c:numCache>
            </c:numRef>
          </c:val>
        </c:ser>
        <c:ser>
          <c:idx val="7"/>
          <c:order val="7"/>
          <c:tx>
            <c:strRef>
              <c:f>'Growth, Modal Shift, InfraCosts'!$BK$54</c:f>
              <c:strCache>
                <c:ptCount val="1"/>
                <c:pt idx="0">
                  <c:v>National cargo sea</c:v>
                </c:pt>
              </c:strCache>
            </c:strRef>
          </c:tx>
          <c:spPr>
            <a:solidFill>
              <a:schemeClr val="accent5">
                <a:lumMod val="75000"/>
              </a:schemeClr>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InfraCosts'!$BL$54:$BP$54</c:f>
              <c:numCache>
                <c:formatCode>#,##0</c:formatCode>
                <c:ptCount val="5"/>
                <c:pt idx="0">
                  <c:v>2073</c:v>
                </c:pt>
                <c:pt idx="1">
                  <c:v>2278.5708383888164</c:v>
                </c:pt>
                <c:pt idx="2">
                  <c:v>2504.5272868094135</c:v>
                </c:pt>
                <c:pt idx="3">
                  <c:v>2629.0167632501516</c:v>
                </c:pt>
                <c:pt idx="4">
                  <c:v>2753.5062396908893</c:v>
                </c:pt>
              </c:numCache>
            </c:numRef>
          </c:val>
        </c:ser>
        <c:ser>
          <c:idx val="8"/>
          <c:order val="8"/>
          <c:tx>
            <c:strRef>
              <c:f>'Growth, Modal Shift, InfraCosts'!$BK$55</c:f>
              <c:strCache>
                <c:ptCount val="1"/>
                <c:pt idx="0">
                  <c:v>International cargo sea</c:v>
                </c:pt>
              </c:strCache>
            </c:strRef>
          </c:tx>
          <c:spPr>
            <a:solidFill>
              <a:schemeClr val="accent5">
                <a:lumMod val="20000"/>
                <a:lumOff val="80000"/>
              </a:schemeClr>
            </a:solidFill>
          </c:spPr>
          <c:invertIfNegative val="0"/>
          <c:cat>
            <c:numRef>
              <c:f>'Growth, Modal Shift, InfraCosts'!$BL$46:$BP$46</c:f>
              <c:numCache>
                <c:formatCode>General</c:formatCode>
                <c:ptCount val="5"/>
                <c:pt idx="0">
                  <c:v>2010</c:v>
                </c:pt>
                <c:pt idx="1">
                  <c:v>2020</c:v>
                </c:pt>
                <c:pt idx="2">
                  <c:v>2030</c:v>
                </c:pt>
                <c:pt idx="3">
                  <c:v>2040</c:v>
                </c:pt>
                <c:pt idx="4">
                  <c:v>2050</c:v>
                </c:pt>
              </c:numCache>
            </c:numRef>
          </c:cat>
          <c:val>
            <c:numRef>
              <c:f>'Growth, Modal Shift, InfraCosts'!$BL$55:$BP$55</c:f>
              <c:numCache>
                <c:formatCode>#,##0</c:formatCode>
                <c:ptCount val="5"/>
                <c:pt idx="0">
                  <c:v>59694</c:v>
                </c:pt>
                <c:pt idx="1">
                  <c:v>74935.398013304715</c:v>
                </c:pt>
                <c:pt idx="2">
                  <c:v>94068.312986437362</c:v>
                </c:pt>
                <c:pt idx="3">
                  <c:v>106153.70408142207</c:v>
                </c:pt>
                <c:pt idx="4">
                  <c:v>118239.09517640679</c:v>
                </c:pt>
              </c:numCache>
            </c:numRef>
          </c:val>
        </c:ser>
        <c:dLbls>
          <c:showLegendKey val="0"/>
          <c:showVal val="0"/>
          <c:showCatName val="0"/>
          <c:showSerName val="0"/>
          <c:showPercent val="0"/>
          <c:showBubbleSize val="0"/>
        </c:dLbls>
        <c:gapWidth val="150"/>
        <c:overlap val="100"/>
        <c:axId val="495442200"/>
        <c:axId val="495435144"/>
      </c:barChart>
      <c:catAx>
        <c:axId val="495442200"/>
        <c:scaling>
          <c:orientation val="minMax"/>
        </c:scaling>
        <c:delete val="0"/>
        <c:axPos val="b"/>
        <c:numFmt formatCode="General" sourceLinked="1"/>
        <c:majorTickMark val="out"/>
        <c:minorTickMark val="none"/>
        <c:tickLblPos val="nextTo"/>
        <c:crossAx val="495435144"/>
        <c:crosses val="autoZero"/>
        <c:auto val="1"/>
        <c:lblAlgn val="ctr"/>
        <c:lblOffset val="100"/>
        <c:noMultiLvlLbl val="0"/>
      </c:catAx>
      <c:valAx>
        <c:axId val="495435144"/>
        <c:scaling>
          <c:orientation val="minMax"/>
          <c:min val="0"/>
        </c:scaling>
        <c:delete val="0"/>
        <c:axPos val="l"/>
        <c:majorGridlines>
          <c:spPr>
            <a:ln>
              <a:prstDash val="sysDot"/>
            </a:ln>
          </c:spPr>
        </c:majorGridlines>
        <c:title>
          <c:tx>
            <c:strRef>
              <c:f>'Growth, Modal Shift, InfraCosts'!$AQ$5</c:f>
              <c:strCache>
                <c:ptCount val="1"/>
                <c:pt idx="0">
                  <c:v>Transport Demand (Mpkm)</c:v>
                </c:pt>
              </c:strCache>
            </c:strRef>
          </c:tx>
          <c:overlay val="0"/>
          <c:txPr>
            <a:bodyPr rot="-5400000" vert="horz"/>
            <a:lstStyle/>
            <a:p>
              <a:pPr>
                <a:defRPr/>
              </a:pPr>
              <a:endParaRPr lang="en-US"/>
            </a:p>
          </c:txPr>
        </c:title>
        <c:numFmt formatCode="#,##0" sourceLinked="1"/>
        <c:majorTickMark val="out"/>
        <c:minorTickMark val="none"/>
        <c:tickLblPos val="nextTo"/>
        <c:crossAx val="495442200"/>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'Growth, Modal Shift, InfraCosts'!$BK$61</c:f>
              <c:strCache>
                <c:ptCount val="1"/>
                <c:pt idx="0">
                  <c:v>Vans (2-6 t)</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InfraCosts'!$BL$61:$BP$61</c:f>
              <c:numCache>
                <c:formatCode>0%</c:formatCode>
                <c:ptCount val="5"/>
                <c:pt idx="0">
                  <c:v>4.6783469799920888E-2</c:v>
                </c:pt>
                <c:pt idx="1">
                  <c:v>4.7182653982212483E-2</c:v>
                </c:pt>
                <c:pt idx="2">
                  <c:v>4.7447754391101812E-2</c:v>
                </c:pt>
                <c:pt idx="3">
                  <c:v>4.7542454041607438E-2</c:v>
                </c:pt>
                <c:pt idx="4">
                  <c:v>4.7618817961290506E-2</c:v>
                </c:pt>
              </c:numCache>
            </c:numRef>
          </c:val>
        </c:ser>
        <c:ser>
          <c:idx val="1"/>
          <c:order val="1"/>
          <c:tx>
            <c:strRef>
              <c:f>'Growth, Modal Shift, InfraCosts'!$BK$62</c:f>
              <c:strCache>
                <c:ptCount val="1"/>
                <c:pt idx="0">
                  <c:v>National truck</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InfraCosts'!$BL$62:$BP$62</c:f>
              <c:numCache>
                <c:formatCode>0%</c:formatCode>
                <c:ptCount val="5"/>
                <c:pt idx="0">
                  <c:v>0.11535478515059107</c:v>
                </c:pt>
                <c:pt idx="1">
                  <c:v>0.11636765313193824</c:v>
                </c:pt>
                <c:pt idx="2">
                  <c:v>0.11701124884159032</c:v>
                </c:pt>
                <c:pt idx="3">
                  <c:v>0.11725843170836303</c:v>
                </c:pt>
                <c:pt idx="4">
                  <c:v>0.11745775506895074</c:v>
                </c:pt>
              </c:numCache>
            </c:numRef>
          </c:val>
        </c:ser>
        <c:ser>
          <c:idx val="2"/>
          <c:order val="2"/>
          <c:tx>
            <c:strRef>
              <c:f>'Growth, Modal Shift, InfraCosts'!$BK$63</c:f>
              <c:strCache>
                <c:ptCount val="1"/>
                <c:pt idx="0">
                  <c:v>International truck</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InfraCosts'!$BL$63:$BP$63</c:f>
              <c:numCache>
                <c:formatCode>0%</c:formatCode>
                <c:ptCount val="5"/>
                <c:pt idx="0">
                  <c:v>0.112425521774228</c:v>
                </c:pt>
                <c:pt idx="1">
                  <c:v>0.10106379046261636</c:v>
                </c:pt>
                <c:pt idx="2">
                  <c:v>9.1773463317234599E-2</c:v>
                </c:pt>
                <c:pt idx="3">
                  <c:v>8.7319650915633831E-2</c:v>
                </c:pt>
                <c:pt idx="4">
                  <c:v>8.3728184941858949E-2</c:v>
                </c:pt>
              </c:numCache>
            </c:numRef>
          </c:val>
        </c:ser>
        <c:ser>
          <c:idx val="3"/>
          <c:order val="3"/>
          <c:tx>
            <c:strRef>
              <c:f>'Growth, Modal Shift, InfraCosts'!$BK$64</c:f>
              <c:strCache>
                <c:ptCount val="1"/>
                <c:pt idx="0">
                  <c:v>National rail </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InfraCosts'!$BL$64:$BP$64</c:f>
              <c:numCache>
                <c:formatCode>0%</c:formatCode>
                <c:ptCount val="5"/>
                <c:pt idx="0">
                  <c:v>1.9260050429155153E-3</c:v>
                </c:pt>
                <c:pt idx="1">
                  <c:v>1.562566102660614E-3</c:v>
                </c:pt>
                <c:pt idx="2">
                  <c:v>1.2640455899769749E-3</c:v>
                </c:pt>
                <c:pt idx="3">
                  <c:v>1.1285567792402261E-3</c:v>
                </c:pt>
                <c:pt idx="4">
                  <c:v>1.0193012898502007E-3</c:v>
                </c:pt>
              </c:numCache>
            </c:numRef>
          </c:val>
        </c:ser>
        <c:ser>
          <c:idx val="4"/>
          <c:order val="4"/>
          <c:tx>
            <c:strRef>
              <c:f>'Growth, Modal Shift, InfraCosts'!$BK$65</c:f>
              <c:strCache>
                <c:ptCount val="1"/>
                <c:pt idx="0">
                  <c:v>International rail (electricity)</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InfraCosts'!$BL$65:$BP$65</c:f>
              <c:numCache>
                <c:formatCode>0%</c:formatCode>
                <c:ptCount val="5"/>
                <c:pt idx="0">
                  <c:v>4.3594605162997893E-3</c:v>
                </c:pt>
                <c:pt idx="1">
                  <c:v>4.4398680624316966E-3</c:v>
                </c:pt>
                <c:pt idx="2">
                  <c:v>4.5086937872888481E-3</c:v>
                </c:pt>
                <c:pt idx="3">
                  <c:v>4.5425865868628408E-3</c:v>
                </c:pt>
                <c:pt idx="4">
                  <c:v>4.5699170681337224E-3</c:v>
                </c:pt>
              </c:numCache>
            </c:numRef>
          </c:val>
        </c:ser>
        <c:ser>
          <c:idx val="5"/>
          <c:order val="5"/>
          <c:tx>
            <c:strRef>
              <c:f>'Growth, Modal Shift, InfraCosts'!$BK$66</c:f>
              <c:strCache>
                <c:ptCount val="1"/>
                <c:pt idx="0">
                  <c:v>National cargo air</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InfraCosts'!$BL$66:$BP$66</c:f>
              <c:numCache>
                <c:formatCode>0%</c:formatCode>
                <c:ptCount val="5"/>
                <c:pt idx="0">
                  <c:v>1.276699151202081E-5</c:v>
                </c:pt>
                <c:pt idx="1">
                  <c:v>1.0357848357157484E-5</c:v>
                </c:pt>
                <c:pt idx="2">
                  <c:v>8.379032743140785E-6</c:v>
                </c:pt>
                <c:pt idx="3">
                  <c:v>7.4809123031073666E-6</c:v>
                </c:pt>
                <c:pt idx="4">
                  <c:v>6.7566857955938449E-6</c:v>
                </c:pt>
              </c:numCache>
            </c:numRef>
          </c:val>
        </c:ser>
        <c:ser>
          <c:idx val="6"/>
          <c:order val="6"/>
          <c:tx>
            <c:strRef>
              <c:f>'Growth, Modal Shift, InfraCosts'!$BK$67</c:f>
              <c:strCache>
                <c:ptCount val="1"/>
                <c:pt idx="0">
                  <c:v>Internationa cargo air</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InfraCosts'!$BL$67:$BP$67</c:f>
              <c:numCache>
                <c:formatCode>0%</c:formatCode>
                <c:ptCount val="5"/>
                <c:pt idx="0">
                  <c:v>6.7813830253552277E-3</c:v>
                </c:pt>
                <c:pt idx="1">
                  <c:v>6.9064614304493064E-3</c:v>
                </c:pt>
                <c:pt idx="2">
                  <c:v>7.0135236691159855E-3</c:v>
                </c:pt>
                <c:pt idx="3">
                  <c:v>7.0662458017866419E-3</c:v>
                </c:pt>
                <c:pt idx="4">
                  <c:v>7.1087598837635676E-3</c:v>
                </c:pt>
              </c:numCache>
            </c:numRef>
          </c:val>
        </c:ser>
        <c:ser>
          <c:idx val="7"/>
          <c:order val="7"/>
          <c:tx>
            <c:strRef>
              <c:f>'Growth, Modal Shift, InfraCosts'!$BK$68</c:f>
              <c:strCache>
                <c:ptCount val="1"/>
                <c:pt idx="0">
                  <c:v>National cargo sea</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InfraCosts'!$BL$68:$BP$68</c:f>
              <c:numCache>
                <c:formatCode>0%</c:formatCode>
                <c:ptCount val="5"/>
                <c:pt idx="0">
                  <c:v>2.3907835053675826E-2</c:v>
                </c:pt>
                <c:pt idx="1">
                  <c:v>2.1319865596271501E-2</c:v>
                </c:pt>
                <c:pt idx="2">
                  <c:v>1.8957105819571482E-2</c:v>
                </c:pt>
                <c:pt idx="3">
                  <c:v>1.7766435274863206E-2</c:v>
                </c:pt>
                <c:pt idx="4">
                  <c:v>1.6806302166032929E-2</c:v>
                </c:pt>
              </c:numCache>
            </c:numRef>
          </c:val>
        </c:ser>
        <c:ser>
          <c:idx val="8"/>
          <c:order val="8"/>
          <c:tx>
            <c:strRef>
              <c:f>'Growth, Modal Shift, InfraCosts'!$BK$69</c:f>
              <c:strCache>
                <c:ptCount val="1"/>
                <c:pt idx="0">
                  <c:v>International cargo sea</c:v>
                </c:pt>
              </c:strCache>
            </c:strRef>
          </c:tx>
          <c:invertIfNegative val="0"/>
          <c:cat>
            <c:numRef>
              <c:f>'Growth, Modal Shift, InfraCosts'!$BL$60:$BP$60</c:f>
              <c:numCache>
                <c:formatCode>General</c:formatCode>
                <c:ptCount val="5"/>
                <c:pt idx="0">
                  <c:v>2010</c:v>
                </c:pt>
                <c:pt idx="1">
                  <c:v>2020</c:v>
                </c:pt>
                <c:pt idx="2">
                  <c:v>2030</c:v>
                </c:pt>
                <c:pt idx="3">
                  <c:v>2040</c:v>
                </c:pt>
                <c:pt idx="4">
                  <c:v>2050</c:v>
                </c:pt>
              </c:numCache>
            </c:numRef>
          </c:cat>
          <c:val>
            <c:numRef>
              <c:f>'Growth, Modal Shift, InfraCosts'!$BL$69:$BP$69</c:f>
              <c:numCache>
                <c:formatCode>0%</c:formatCode>
                <c:ptCount val="5"/>
                <c:pt idx="0">
                  <c:v>0.68844877264550164</c:v>
                </c:pt>
                <c:pt idx="1">
                  <c:v>0.70114678338306269</c:v>
                </c:pt>
                <c:pt idx="2">
                  <c:v>0.7120157855513769</c:v>
                </c:pt>
                <c:pt idx="3">
                  <c:v>0.71736815797933973</c:v>
                </c:pt>
                <c:pt idx="4">
                  <c:v>0.72168420493432384</c:v>
                </c:pt>
              </c:numCache>
            </c:numRef>
          </c:val>
        </c:ser>
        <c:dLbls>
          <c:showLegendKey val="0"/>
          <c:showVal val="0"/>
          <c:showCatName val="0"/>
          <c:showSerName val="0"/>
          <c:showPercent val="0"/>
          <c:showBubbleSize val="0"/>
        </c:dLbls>
        <c:gapWidth val="150"/>
        <c:overlap val="100"/>
        <c:axId val="495442984"/>
        <c:axId val="495440240"/>
      </c:barChart>
      <c:catAx>
        <c:axId val="495442984"/>
        <c:scaling>
          <c:orientation val="minMax"/>
        </c:scaling>
        <c:delete val="0"/>
        <c:axPos val="b"/>
        <c:numFmt formatCode="General" sourceLinked="1"/>
        <c:majorTickMark val="out"/>
        <c:minorTickMark val="none"/>
        <c:tickLblPos val="nextTo"/>
        <c:crossAx val="495440240"/>
        <c:crosses val="autoZero"/>
        <c:auto val="1"/>
        <c:lblAlgn val="ctr"/>
        <c:lblOffset val="100"/>
        <c:noMultiLvlLbl val="0"/>
      </c:catAx>
      <c:valAx>
        <c:axId val="495440240"/>
        <c:scaling>
          <c:orientation val="minMax"/>
          <c:min val="0"/>
        </c:scaling>
        <c:delete val="0"/>
        <c:axPos val="l"/>
        <c:majorGridlines/>
        <c:title>
          <c:tx>
            <c:strRef>
              <c:f>'Growth, Modal Shift, InfraCosts'!$AQ$5</c:f>
              <c:strCache>
                <c:ptCount val="1"/>
                <c:pt idx="0">
                  <c:v>Transport Demand (Mpkm)</c:v>
                </c:pt>
              </c:strCache>
            </c:strRef>
          </c:tx>
          <c:overlay val="0"/>
          <c:txPr>
            <a:bodyPr rot="-5400000" vert="horz"/>
            <a:lstStyle/>
            <a:p>
              <a:pPr>
                <a:defRPr/>
              </a:pPr>
              <a:endParaRPr lang="en-US"/>
            </a:p>
          </c:txPr>
        </c:title>
        <c:numFmt formatCode="0%" sourceLinked="1"/>
        <c:majorTickMark val="out"/>
        <c:minorTickMark val="none"/>
        <c:tickLblPos val="nextTo"/>
        <c:crossAx val="495442984"/>
        <c:crosses val="autoZero"/>
        <c:crossBetween val="between"/>
      </c:valAx>
    </c:plotArea>
    <c:legend>
      <c:legendPos val="r"/>
      <c:overlay val="0"/>
    </c:legend>
    <c:plotVisOnly val="1"/>
    <c:dispBlanksAs val="gap"/>
    <c:showDLblsOverMax val="0"/>
  </c:chart>
  <c:spPr>
    <a:ln>
      <a:noFill/>
    </a:ln>
  </c:spPr>
  <c:txPr>
    <a:bodyPr/>
    <a:lstStyle/>
    <a:p>
      <a:pPr>
        <a:defRPr b="0">
          <a:latin typeface="Times New Roman" pitchFamily="18" charset="0"/>
          <a:cs typeface="Times New Roman" pitchFamily="18"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'Tables and graphs'!$C$62</c:f>
              <c:strCache>
                <c:ptCount val="1"/>
                <c:pt idx="0">
                  <c:v>Mode</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graphs'!$D$62:$G$62</c:f>
              <c:numCache>
                <c:formatCode>General</c:formatCode>
                <c:ptCount val="4"/>
                <c:pt idx="0">
                  <c:v>2010</c:v>
                </c:pt>
                <c:pt idx="1">
                  <c:v>2020</c:v>
                </c:pt>
                <c:pt idx="2">
                  <c:v>2030</c:v>
                </c:pt>
                <c:pt idx="3">
                  <c:v>2050</c:v>
                </c:pt>
              </c:numCache>
            </c:numRef>
          </c:val>
        </c:ser>
        <c:ser>
          <c:idx val="1"/>
          <c:order val="1"/>
          <c:tx>
            <c:strRef>
              <c:f>'Tables and graphs'!$C$63</c:f>
              <c:strCache>
                <c:ptCount val="1"/>
                <c:pt idx="0">
                  <c:v>Vans and cars &lt; 2 t (national)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graphs'!$D$63:$G$63</c:f>
              <c:numCache>
                <c:formatCode>_ * #,##0_ ;_ * \-#,##0_ ;_ * "-"??_ ;_ @_ </c:formatCode>
                <c:ptCount val="4"/>
                <c:pt idx="0">
                  <c:v>2120322</c:v>
                </c:pt>
                <c:pt idx="1">
                  <c:v>2387916.5365056777</c:v>
                </c:pt>
                <c:pt idx="2">
                  <c:v>2684987.3309922684</c:v>
                </c:pt>
                <c:pt idx="3">
                  <c:v>2726880.0786693594</c:v>
                </c:pt>
              </c:numCache>
            </c:numRef>
          </c:val>
        </c:ser>
        <c:ser>
          <c:idx val="2"/>
          <c:order val="2"/>
          <c:tx>
            <c:strRef>
              <c:f>'Tables and graphs'!$C$64</c:f>
              <c:strCache>
                <c:ptCount val="1"/>
                <c:pt idx="0">
                  <c:v>Rail (national)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graphs'!$D$64:$G$64</c:f>
              <c:numCache>
                <c:formatCode>_ * #,##0_ ;_ * \-#,##0_ ;_ * "-"??_ ;_ @_ </c:formatCode>
                <c:ptCount val="4"/>
                <c:pt idx="0">
                  <c:v>219.76694425242695</c:v>
                </c:pt>
                <c:pt idx="1">
                  <c:v>20.06943044911236</c:v>
                </c:pt>
                <c:pt idx="2">
                  <c:v>0</c:v>
                </c:pt>
                <c:pt idx="3">
                  <c:v>0</c:v>
                </c:pt>
              </c:numCache>
            </c:numRef>
          </c:val>
        </c:ser>
        <c:ser>
          <c:idx val="3"/>
          <c:order val="3"/>
          <c:tx>
            <c:strRef>
              <c:f>'Tables and graphs'!$C$65</c:f>
              <c:strCache>
                <c:ptCount val="1"/>
                <c:pt idx="0">
                  <c:v>Bus (national)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graphs'!$D$65:$G$65</c:f>
              <c:numCache>
                <c:formatCode>_ * #,##0_ ;_ * \-#,##0_ ;_ * "-"??_ ;_ @_ </c:formatCode>
                <c:ptCount val="4"/>
                <c:pt idx="0">
                  <c:v>14445.081453795592</c:v>
                </c:pt>
                <c:pt idx="1">
                  <c:v>14117.418830886178</c:v>
                </c:pt>
                <c:pt idx="2">
                  <c:v>14474.351412019916</c:v>
                </c:pt>
                <c:pt idx="3">
                  <c:v>14840.53967034241</c:v>
                </c:pt>
              </c:numCache>
            </c:numRef>
          </c:val>
        </c:ser>
        <c:ser>
          <c:idx val="5"/>
          <c:order val="4"/>
          <c:tx>
            <c:strRef>
              <c:f>'Tables and graphs'!$C$66</c:f>
              <c:strCache>
                <c:ptCount val="1"/>
                <c:pt idx="0">
                  <c:v>Truck (national)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graphs'!$D$66:$G$66</c:f>
              <c:numCache>
                <c:formatCode>_ * #,##0_ ;_ * \-#,##0_ ;_ * "-"??_ ;_ @_ </c:formatCode>
                <c:ptCount val="4"/>
                <c:pt idx="0">
                  <c:v>45502</c:v>
                </c:pt>
                <c:pt idx="1">
                  <c:v>48948.360237792942</c:v>
                </c:pt>
                <c:pt idx="2">
                  <c:v>52598.870294840555</c:v>
                </c:pt>
                <c:pt idx="3">
                  <c:v>56901.245694826415</c:v>
                </c:pt>
              </c:numCache>
            </c:numRef>
          </c:val>
        </c:ser>
        <c:ser>
          <c:idx val="6"/>
          <c:order val="5"/>
          <c:tx>
            <c:strRef>
              <c:f>'Tables and graphs'!$C$67</c:f>
              <c:strCache>
                <c:ptCount val="1"/>
                <c:pt idx="0">
                  <c:v>Truck (international)</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graphs'!$D$67:$G$67</c:f>
              <c:numCache>
                <c:formatCode>_ * #,##0_ ;_ * \-#,##0_ ;_ * "-"??_ ;_ @_ </c:formatCode>
                <c:ptCount val="4"/>
                <c:pt idx="0">
                  <c:v>24015.993933773505</c:v>
                </c:pt>
                <c:pt idx="1">
                  <c:v>22729.107008717627</c:v>
                </c:pt>
                <c:pt idx="2">
                  <c:v>21760.223037033888</c:v>
                </c:pt>
                <c:pt idx="3">
                  <c:v>21114.065561029132</c:v>
                </c:pt>
              </c:numCache>
            </c:numRef>
          </c:val>
        </c:ser>
        <c:ser>
          <c:idx val="7"/>
          <c:order val="6"/>
          <c:tx>
            <c:strRef>
              <c:f>'Tables and graphs'!$C$68</c:f>
              <c:strCache>
                <c:ptCount val="1"/>
                <c:pt idx="0">
                  <c:v>Vans (2-6 t)</c:v>
                </c:pt>
              </c:strCache>
            </c:strRef>
          </c:tx>
          <c:invertIfNegative val="0"/>
          <c:cat>
            <c:numRef>
              <c:f>'Tables and graphs'!$D$62:$G$62</c:f>
              <c:numCache>
                <c:formatCode>General</c:formatCode>
                <c:ptCount val="4"/>
                <c:pt idx="0">
                  <c:v>2010</c:v>
                </c:pt>
                <c:pt idx="1">
                  <c:v>2020</c:v>
                </c:pt>
                <c:pt idx="2">
                  <c:v>2030</c:v>
                </c:pt>
                <c:pt idx="3">
                  <c:v>2050</c:v>
                </c:pt>
              </c:numCache>
            </c:numRef>
          </c:cat>
          <c:val>
            <c:numRef>
              <c:f>'Tables and graphs'!$D$68:$G$68</c:f>
              <c:numCache>
                <c:formatCode>_ * #,##0_ ;_ * \-#,##0_ ;_ * "-"??_ ;_ @_ </c:formatCode>
                <c:ptCount val="4"/>
                <c:pt idx="0">
                  <c:v>462359</c:v>
                </c:pt>
                <c:pt idx="1">
                  <c:v>520324.8119264844</c:v>
                </c:pt>
                <c:pt idx="2">
                  <c:v>585557.7806560084</c:v>
                </c:pt>
                <c:pt idx="3">
                  <c:v>659749.59163159342</c:v>
                </c:pt>
              </c:numCache>
            </c:numRef>
          </c:val>
        </c:ser>
        <c:dLbls>
          <c:showLegendKey val="0"/>
          <c:showVal val="0"/>
          <c:showCatName val="0"/>
          <c:showSerName val="0"/>
          <c:showPercent val="0"/>
          <c:showBubbleSize val="0"/>
        </c:dLbls>
        <c:gapWidth val="150"/>
        <c:shape val="box"/>
        <c:axId val="495433576"/>
        <c:axId val="495435536"/>
        <c:axId val="0"/>
      </c:bar3DChart>
      <c:catAx>
        <c:axId val="495433576"/>
        <c:scaling>
          <c:orientation val="minMax"/>
        </c:scaling>
        <c:delete val="0"/>
        <c:axPos val="b"/>
        <c:numFmt formatCode="General" sourceLinked="1"/>
        <c:majorTickMark val="out"/>
        <c:minorTickMark val="none"/>
        <c:tickLblPos val="nextTo"/>
        <c:crossAx val="495435536"/>
        <c:crosses val="autoZero"/>
        <c:auto val="1"/>
        <c:lblAlgn val="ctr"/>
        <c:lblOffset val="100"/>
        <c:noMultiLvlLbl val="0"/>
      </c:catAx>
      <c:valAx>
        <c:axId val="495435536"/>
        <c:scaling>
          <c:orientation val="minMax"/>
        </c:scaling>
        <c:delete val="0"/>
        <c:axPos val="l"/>
        <c:majorGridlines/>
        <c:numFmt formatCode="General" sourceLinked="1"/>
        <c:majorTickMark val="out"/>
        <c:minorTickMark val="none"/>
        <c:tickLblPos val="nextTo"/>
        <c:crossAx val="495433576"/>
        <c:crosses val="autoZero"/>
        <c:crossBetween val="between"/>
      </c:valAx>
    </c:plotArea>
    <c:legend>
      <c:legendPos val="r"/>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stacked"/>
        <c:varyColors val="0"/>
        <c:ser>
          <c:idx val="1"/>
          <c:order val="0"/>
          <c:tx>
            <c:strRef>
              <c:f>'Tables and graphs'!$C$169</c:f>
              <c:strCache>
                <c:ptCount val="1"/>
                <c:pt idx="0">
                  <c:v>Cars and vans</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graphs'!$D$169:$G$169</c:f>
              <c:numCache>
                <c:formatCode>#,##0</c:formatCode>
                <c:ptCount val="4"/>
                <c:pt idx="0">
                  <c:v>2120322</c:v>
                </c:pt>
                <c:pt idx="1">
                  <c:v>2387916.5365056777</c:v>
                </c:pt>
                <c:pt idx="2">
                  <c:v>2684987.3309922684</c:v>
                </c:pt>
                <c:pt idx="3">
                  <c:v>2726880.0786693594</c:v>
                </c:pt>
              </c:numCache>
            </c:numRef>
          </c:val>
        </c:ser>
        <c:ser>
          <c:idx val="2"/>
          <c:order val="1"/>
          <c:tx>
            <c:strRef>
              <c:f>'Tables and graphs'!$C$170</c:f>
              <c:strCache>
                <c:ptCount val="1"/>
                <c:pt idx="0">
                  <c:v>Rail (international)</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graphs'!$D$170:$G$170</c:f>
              <c:numCache>
                <c:formatCode>#,##0</c:formatCode>
                <c:ptCount val="4"/>
                <c:pt idx="0">
                  <c:v>460.59602649006621</c:v>
                </c:pt>
                <c:pt idx="1">
                  <c:v>471.09759587600729</c:v>
                </c:pt>
                <c:pt idx="2">
                  <c:v>528.20140452946055</c:v>
                </c:pt>
                <c:pt idx="3">
                  <c:v>541.56443178106622</c:v>
                </c:pt>
              </c:numCache>
            </c:numRef>
          </c:val>
        </c:ser>
        <c:ser>
          <c:idx val="3"/>
          <c:order val="2"/>
          <c:tx>
            <c:strRef>
              <c:f>'Tables and graphs'!$C$171</c:f>
              <c:strCache>
                <c:ptCount val="1"/>
                <c:pt idx="0">
                  <c:v>Bus</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graphs'!$D$171:$G$171</c:f>
              <c:numCache>
                <c:formatCode>#,##0</c:formatCode>
                <c:ptCount val="4"/>
                <c:pt idx="0">
                  <c:v>14509</c:v>
                </c:pt>
                <c:pt idx="1">
                  <c:v>14875.824822037219</c:v>
                </c:pt>
                <c:pt idx="2">
                  <c:v>15251.93228288598</c:v>
                </c:pt>
                <c:pt idx="3">
                  <c:v>15637.792647868182</c:v>
                </c:pt>
              </c:numCache>
            </c:numRef>
          </c:val>
        </c:ser>
        <c:ser>
          <c:idx val="5"/>
          <c:order val="3"/>
          <c:tx>
            <c:strRef>
              <c:f>'Tables and graphs'!$C$172</c:f>
              <c:strCache>
                <c:ptCount val="1"/>
                <c:pt idx="0">
                  <c:v>Trucks (national)</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graphs'!$D$172:$G$172</c:f>
              <c:numCache>
                <c:formatCode>#,##0</c:formatCode>
                <c:ptCount val="4"/>
                <c:pt idx="0">
                  <c:v>45502</c:v>
                </c:pt>
                <c:pt idx="1">
                  <c:v>48948.360237792942</c:v>
                </c:pt>
                <c:pt idx="2">
                  <c:v>52598.870294840555</c:v>
                </c:pt>
                <c:pt idx="3">
                  <c:v>56901.245694826415</c:v>
                </c:pt>
              </c:numCache>
            </c:numRef>
          </c:val>
        </c:ser>
        <c:ser>
          <c:idx val="6"/>
          <c:order val="4"/>
          <c:tx>
            <c:strRef>
              <c:f>'Tables and graphs'!$C$173</c:f>
              <c:strCache>
                <c:ptCount val="1"/>
                <c:pt idx="0">
                  <c:v>Trucks (international)</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graphs'!$D$173:$G$173</c:f>
              <c:numCache>
                <c:formatCode>#,##0</c:formatCode>
                <c:ptCount val="4"/>
                <c:pt idx="0">
                  <c:v>24015.993933773505</c:v>
                </c:pt>
                <c:pt idx="1">
                  <c:v>22729.107008717627</c:v>
                </c:pt>
                <c:pt idx="2">
                  <c:v>21760.223037033888</c:v>
                </c:pt>
                <c:pt idx="3">
                  <c:v>21114.065561029132</c:v>
                </c:pt>
              </c:numCache>
            </c:numRef>
          </c:val>
        </c:ser>
        <c:ser>
          <c:idx val="7"/>
          <c:order val="5"/>
          <c:tx>
            <c:strRef>
              <c:f>'Tables and graphs'!$C$174</c:f>
              <c:strCache>
                <c:ptCount val="1"/>
                <c:pt idx="0">
                  <c:v>Vans (2-6 t)</c:v>
                </c:pt>
              </c:strCache>
            </c:strRef>
          </c:tx>
          <c:invertIfNegative val="0"/>
          <c:cat>
            <c:numRef>
              <c:f>'Tables and graphs'!$D$168:$G$168</c:f>
              <c:numCache>
                <c:formatCode>General</c:formatCode>
                <c:ptCount val="4"/>
                <c:pt idx="0">
                  <c:v>2010</c:v>
                </c:pt>
                <c:pt idx="1">
                  <c:v>2020</c:v>
                </c:pt>
                <c:pt idx="2">
                  <c:v>2030</c:v>
                </c:pt>
                <c:pt idx="3">
                  <c:v>2050</c:v>
                </c:pt>
              </c:numCache>
            </c:numRef>
          </c:cat>
          <c:val>
            <c:numRef>
              <c:f>'Tables and graphs'!$D$174:$G$174</c:f>
              <c:numCache>
                <c:formatCode>#,##0</c:formatCode>
                <c:ptCount val="4"/>
                <c:pt idx="0">
                  <c:v>462359</c:v>
                </c:pt>
                <c:pt idx="1">
                  <c:v>520324.8119264844</c:v>
                </c:pt>
                <c:pt idx="2">
                  <c:v>585557.7806560084</c:v>
                </c:pt>
                <c:pt idx="3">
                  <c:v>659749.59163159342</c:v>
                </c:pt>
              </c:numCache>
            </c:numRef>
          </c:val>
        </c:ser>
        <c:dLbls>
          <c:showLegendKey val="0"/>
          <c:showVal val="0"/>
          <c:showCatName val="0"/>
          <c:showSerName val="0"/>
          <c:showPercent val="0"/>
          <c:showBubbleSize val="0"/>
        </c:dLbls>
        <c:gapWidth val="150"/>
        <c:shape val="box"/>
        <c:axId val="495443376"/>
        <c:axId val="495432008"/>
        <c:axId val="0"/>
      </c:bar3DChart>
      <c:catAx>
        <c:axId val="495443376"/>
        <c:scaling>
          <c:orientation val="minMax"/>
        </c:scaling>
        <c:delete val="0"/>
        <c:axPos val="b"/>
        <c:numFmt formatCode="General" sourceLinked="1"/>
        <c:majorTickMark val="out"/>
        <c:minorTickMark val="none"/>
        <c:tickLblPos val="nextTo"/>
        <c:crossAx val="495432008"/>
        <c:crosses val="autoZero"/>
        <c:auto val="1"/>
        <c:lblAlgn val="ctr"/>
        <c:lblOffset val="100"/>
        <c:noMultiLvlLbl val="0"/>
      </c:catAx>
      <c:valAx>
        <c:axId val="495432008"/>
        <c:scaling>
          <c:orientation val="minMax"/>
        </c:scaling>
        <c:delete val="0"/>
        <c:axPos val="l"/>
        <c:majorGridlines/>
        <c:numFmt formatCode="#,##0" sourceLinked="1"/>
        <c:majorTickMark val="out"/>
        <c:minorTickMark val="none"/>
        <c:tickLblPos val="nextTo"/>
        <c:crossAx val="495443376"/>
        <c:crosses val="autoZero"/>
        <c:crossBetween val="between"/>
      </c:valAx>
    </c:plotArea>
    <c:legend>
      <c:legendPos val="r"/>
      <c:overlay val="0"/>
    </c:legend>
    <c:plotVisOnly val="1"/>
    <c:dispBlanksAs val="gap"/>
    <c:showDLblsOverMax val="0"/>
  </c:chart>
  <c:spPr>
    <a:ln>
      <a:noFill/>
    </a:ln>
  </c:spPr>
  <c:printSettings>
    <c:headerFooter/>
    <c:pageMargins b="0.75000000000000011" l="0.70000000000000007" r="0.70000000000000007" t="0.75000000000000011" header="0.30000000000000004" footer="0.30000000000000004"/>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a:t>
            </a:r>
          </a:p>
        </c:rich>
      </c:tx>
      <c:overlay val="0"/>
    </c:title>
    <c:autoTitleDeleted val="0"/>
    <c:plotArea>
      <c:layout/>
      <c:scatterChart>
        <c:scatterStyle val="lineMarker"/>
        <c:varyColors val="0"/>
        <c:ser>
          <c:idx val="0"/>
          <c:order val="0"/>
          <c:spPr>
            <a:ln w="28575">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'Tables and graphs'!$D$113:$D$163</c:f>
              <c:numCache>
                <c:formatCode>_ * #,##0.00_ ;_ * \-#,##0.00_ ;_ * "-"??_ ;_ @_ </c:formatCode>
                <c:ptCount val="51"/>
                <c:pt idx="0">
                  <c:v>8.486660443247434</c:v>
                </c:pt>
                <c:pt idx="1">
                  <c:v>26.520813885148229</c:v>
                </c:pt>
                <c:pt idx="2">
                  <c:v>19.13637686290782</c:v>
                </c:pt>
                <c:pt idx="3">
                  <c:v>20.206334388684368</c:v>
                </c:pt>
                <c:pt idx="4">
                  <c:v>14.580096657453579</c:v>
                </c:pt>
                <c:pt idx="5">
                  <c:v>14.580096657453579</c:v>
                </c:pt>
                <c:pt idx="6">
                  <c:v>20.206334388684368</c:v>
                </c:pt>
                <c:pt idx="7">
                  <c:v>20.206334388684368</c:v>
                </c:pt>
                <c:pt idx="8">
                  <c:v>10.974575007773536</c:v>
                </c:pt>
                <c:pt idx="9">
                  <c:v>34.295546899292297</c:v>
                </c:pt>
                <c:pt idx="10">
                  <c:v>24.746318609472002</c:v>
                </c:pt>
                <c:pt idx="11">
                  <c:v>26.129940494698896</c:v>
                </c:pt>
                <c:pt idx="12">
                  <c:v>18.854337988169149</c:v>
                </c:pt>
                <c:pt idx="13">
                  <c:v>18.854337988169149</c:v>
                </c:pt>
                <c:pt idx="14">
                  <c:v>26.129940494698896</c:v>
                </c:pt>
                <c:pt idx="15">
                  <c:v>26.129940494698896</c:v>
                </c:pt>
                <c:pt idx="16">
                  <c:v>0.8218135714144672</c:v>
                </c:pt>
                <c:pt idx="17">
                  <c:v>1.2984654428348583</c:v>
                </c:pt>
                <c:pt idx="18">
                  <c:v>0.91271022629107146</c:v>
                </c:pt>
                <c:pt idx="19">
                  <c:v>3.0863615926805017</c:v>
                </c:pt>
                <c:pt idx="20">
                  <c:v>4.0666832592615139</c:v>
                </c:pt>
                <c:pt idx="21">
                  <c:v>4.0525296569457572</c:v>
                </c:pt>
                <c:pt idx="22">
                  <c:v>2.2269972116433925</c:v>
                </c:pt>
                <c:pt idx="23">
                  <c:v>2.2269972116433925</c:v>
                </c:pt>
                <c:pt idx="24">
                  <c:v>1.024996402616718</c:v>
                </c:pt>
                <c:pt idx="25">
                  <c:v>1.024996402616718</c:v>
                </c:pt>
                <c:pt idx="26">
                  <c:v>3.0863615926805017</c:v>
                </c:pt>
                <c:pt idx="27">
                  <c:v>4.0666832592615139</c:v>
                </c:pt>
                <c:pt idx="28">
                  <c:v>4.7999999999999989</c:v>
                </c:pt>
                <c:pt idx="29">
                  <c:v>210.27799999999999</c:v>
                </c:pt>
                <c:pt idx="30">
                  <c:v>91.575000000000003</c:v>
                </c:pt>
                <c:pt idx="31">
                  <c:v>210.27799999999999</c:v>
                </c:pt>
                <c:pt idx="32">
                  <c:v>111.75451</c:v>
                </c:pt>
                <c:pt idx="33">
                  <c:v>210.27799999999999</c:v>
                </c:pt>
                <c:pt idx="34">
                  <c:v>103.6</c:v>
                </c:pt>
                <c:pt idx="35">
                  <c:v>210.27799999999999</c:v>
                </c:pt>
                <c:pt idx="36">
                  <c:v>103.6</c:v>
                </c:pt>
                <c:pt idx="37">
                  <c:v>162</c:v>
                </c:pt>
                <c:pt idx="38">
                  <c:v>162</c:v>
                </c:pt>
                <c:pt idx="39">
                  <c:v>162</c:v>
                </c:pt>
                <c:pt idx="40">
                  <c:v>324</c:v>
                </c:pt>
                <c:pt idx="41">
                  <c:v>324</c:v>
                </c:pt>
                <c:pt idx="42">
                  <c:v>324</c:v>
                </c:pt>
                <c:pt idx="43">
                  <c:v>2720</c:v>
                </c:pt>
                <c:pt idx="44">
                  <c:v>2720</c:v>
                </c:pt>
                <c:pt idx="45">
                  <c:v>2720</c:v>
                </c:pt>
                <c:pt idx="46">
                  <c:v>2720</c:v>
                </c:pt>
                <c:pt idx="47">
                  <c:v>2850</c:v>
                </c:pt>
                <c:pt idx="48">
                  <c:v>2850</c:v>
                </c:pt>
                <c:pt idx="49">
                  <c:v>2850</c:v>
                </c:pt>
                <c:pt idx="50">
                  <c:v>2850</c:v>
                </c:pt>
              </c:numCache>
            </c:numRef>
          </c:xVal>
          <c:yVal>
            <c:numRef>
              <c:f>'Tables and graphs'!$Q$113:$Q$163</c:f>
              <c:numCache>
                <c:formatCode>_ * #,##0.00_ ;_ * \-#,##0.00_ ;_ * "-"??_ ;_ @_ </c:formatCode>
                <c:ptCount val="51"/>
                <c:pt idx="0">
                  <c:v>1.0063630330132869</c:v>
                </c:pt>
                <c:pt idx="1">
                  <c:v>3.1448844781665213</c:v>
                </c:pt>
                <c:pt idx="2">
                  <c:v>2.2692250254885944</c:v>
                </c:pt>
                <c:pt idx="3">
                  <c:v>2.3961024595554452</c:v>
                </c:pt>
                <c:pt idx="4">
                  <c:v>1.7289333527532149</c:v>
                </c:pt>
                <c:pt idx="5">
                  <c:v>1.7289333527532149</c:v>
                </c:pt>
                <c:pt idx="6">
                  <c:v>2.3961024595554452</c:v>
                </c:pt>
                <c:pt idx="7">
                  <c:v>2.3961024595554452</c:v>
                </c:pt>
                <c:pt idx="8">
                  <c:v>0.70476826863867581</c:v>
                </c:pt>
                <c:pt idx="9">
                  <c:v>2.2024008394958616</c:v>
                </c:pt>
                <c:pt idx="10">
                  <c:v>1.5891658774235164</c:v>
                </c:pt>
                <c:pt idx="11">
                  <c:v>1.6780196872349424</c:v>
                </c:pt>
                <c:pt idx="12">
                  <c:v>1.2107930494655366</c:v>
                </c:pt>
                <c:pt idx="13">
                  <c:v>1.2107930494655366</c:v>
                </c:pt>
                <c:pt idx="14">
                  <c:v>1.6780196872349424</c:v>
                </c:pt>
                <c:pt idx="15">
                  <c:v>1.6780196872349424</c:v>
                </c:pt>
                <c:pt idx="16">
                  <c:v>1.7121116071134737</c:v>
                </c:pt>
                <c:pt idx="17">
                  <c:v>2.7051363392392886</c:v>
                </c:pt>
                <c:pt idx="18">
                  <c:v>1.9014796381063992</c:v>
                </c:pt>
                <c:pt idx="19">
                  <c:v>6.429919984751046</c:v>
                </c:pt>
                <c:pt idx="20">
                  <c:v>8.4722567901281547</c:v>
                </c:pt>
                <c:pt idx="21">
                  <c:v>8.4427701186369948</c:v>
                </c:pt>
                <c:pt idx="22">
                  <c:v>4.639577524257068</c:v>
                </c:pt>
                <c:pt idx="23">
                  <c:v>4.639577524257068</c:v>
                </c:pt>
                <c:pt idx="24">
                  <c:v>2.1354091721181629</c:v>
                </c:pt>
                <c:pt idx="25">
                  <c:v>2.1354091721181629</c:v>
                </c:pt>
                <c:pt idx="26">
                  <c:v>6.429919984751046</c:v>
                </c:pt>
                <c:pt idx="27">
                  <c:v>8.4722567901281547</c:v>
                </c:pt>
                <c:pt idx="28">
                  <c:v>10</c:v>
                </c:pt>
                <c:pt idx="29">
                  <c:v>0.75775855855855856</c:v>
                </c:pt>
                <c:pt idx="30">
                  <c:v>0.33</c:v>
                </c:pt>
                <c:pt idx="31">
                  <c:v>0.75775855855855856</c:v>
                </c:pt>
                <c:pt idx="32">
                  <c:v>0.40271895495495497</c:v>
                </c:pt>
                <c:pt idx="33">
                  <c:v>0.56831891891891895</c:v>
                </c:pt>
                <c:pt idx="34">
                  <c:v>0.27999999999999997</c:v>
                </c:pt>
                <c:pt idx="35">
                  <c:v>0.56831891891891895</c:v>
                </c:pt>
                <c:pt idx="36">
                  <c:v>0.27999999999999997</c:v>
                </c:pt>
                <c:pt idx="37">
                  <c:v>10.8</c:v>
                </c:pt>
                <c:pt idx="38">
                  <c:v>10.8</c:v>
                </c:pt>
                <c:pt idx="39">
                  <c:v>10.8</c:v>
                </c:pt>
                <c:pt idx="40">
                  <c:v>10.8</c:v>
                </c:pt>
                <c:pt idx="41">
                  <c:v>10.8</c:v>
                </c:pt>
                <c:pt idx="42">
                  <c:v>10.8</c:v>
                </c:pt>
                <c:pt idx="43">
                  <c:v>0.22666666666666666</c:v>
                </c:pt>
                <c:pt idx="44">
                  <c:v>0.22666666666666666</c:v>
                </c:pt>
                <c:pt idx="45">
                  <c:v>0.22666666666666666</c:v>
                </c:pt>
                <c:pt idx="46">
                  <c:v>0.22666666666666666</c:v>
                </c:pt>
                <c:pt idx="47">
                  <c:v>5.4285714285714284E-2</c:v>
                </c:pt>
                <c:pt idx="48">
                  <c:v>5.4285714285714284E-2</c:v>
                </c:pt>
                <c:pt idx="49">
                  <c:v>5.4285714285714284E-2</c:v>
                </c:pt>
                <c:pt idx="50">
                  <c:v>5.4285714285714284E-2</c:v>
                </c:pt>
              </c:numCache>
            </c:numRef>
          </c:yVal>
          <c:smooth val="0"/>
        </c:ser>
        <c:dLbls>
          <c:showLegendKey val="0"/>
          <c:showVal val="0"/>
          <c:showCatName val="0"/>
          <c:showSerName val="0"/>
          <c:showPercent val="0"/>
          <c:showBubbleSize val="0"/>
        </c:dLbls>
        <c:axId val="495436320"/>
        <c:axId val="495443768"/>
      </c:scatterChart>
      <c:valAx>
        <c:axId val="495436320"/>
        <c:scaling>
          <c:logBase val="10"/>
          <c:orientation val="minMax"/>
        </c:scaling>
        <c:delete val="0"/>
        <c:axPos val="b"/>
        <c:title>
          <c:tx>
            <c:rich>
              <a:bodyPr/>
              <a:lstStyle/>
              <a:p>
                <a:pPr>
                  <a:defRPr/>
                </a:pPr>
                <a:r>
                  <a:rPr lang="en-US"/>
                  <a:t>Specific energy consumption</a:t>
                </a:r>
              </a:p>
            </c:rich>
          </c:tx>
          <c:overlay val="0"/>
        </c:title>
        <c:numFmt formatCode="_ * #,##0.00_ ;_ * \-#,##0.00_ ;_ * &quot;-&quot;??_ ;_ @_ " sourceLinked="1"/>
        <c:majorTickMark val="out"/>
        <c:minorTickMark val="none"/>
        <c:tickLblPos val="nextTo"/>
        <c:crossAx val="495443768"/>
        <c:crosses val="autoZero"/>
        <c:crossBetween val="midCat"/>
      </c:valAx>
      <c:valAx>
        <c:axId val="495443768"/>
        <c:scaling>
          <c:orientation val="minMax"/>
        </c:scaling>
        <c:delete val="0"/>
        <c:axPos val="l"/>
        <c:majorGridlines/>
        <c:title>
          <c:tx>
            <c:rich>
              <a:bodyPr rot="-5400000" vert="horz"/>
              <a:lstStyle/>
              <a:p>
                <a:pPr>
                  <a:defRPr/>
                </a:pPr>
                <a:r>
                  <a:rPr lang="en-US"/>
                  <a:t>Energy consumption/actual load factor</a:t>
                </a:r>
              </a:p>
            </c:rich>
          </c:tx>
          <c:overlay val="0"/>
        </c:title>
        <c:numFmt formatCode="_ * #,##0.00_ ;_ * \-#,##0.00_ ;_ * &quot;-&quot;??_ ;_ @_ " sourceLinked="1"/>
        <c:majorTickMark val="out"/>
        <c:minorTickMark val="none"/>
        <c:tickLblPos val="nextTo"/>
        <c:crossAx val="4954363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Passenger</a:t>
            </a:r>
          </a:p>
        </c:rich>
      </c:tx>
      <c:overlay val="0"/>
    </c:title>
    <c:autoTitleDeleted val="0"/>
    <c:plotArea>
      <c:layout/>
      <c:scatterChart>
        <c:scatterStyle val="lineMarker"/>
        <c:varyColors val="0"/>
        <c:ser>
          <c:idx val="0"/>
          <c:order val="0"/>
          <c:spPr>
            <a:ln w="28575">
              <a:noFill/>
            </a:ln>
          </c:spP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'Tables and graphs'!$D$79:$D$109</c:f>
              <c:numCache>
                <c:formatCode>_ * #,##0.00_ ;_ * \-#,##0.00_ ;_ * "-"??_ ;_ @_ </c:formatCode>
                <c:ptCount val="31"/>
                <c:pt idx="0">
                  <c:v>0.48</c:v>
                </c:pt>
                <c:pt idx="1">
                  <c:v>0.75839999999999996</c:v>
                </c:pt>
                <c:pt idx="2">
                  <c:v>0.53309037944661275</c:v>
                </c:pt>
                <c:pt idx="3">
                  <c:v>1.73</c:v>
                </c:pt>
                <c:pt idx="4">
                  <c:v>2.2400000000000002</c:v>
                </c:pt>
                <c:pt idx="5">
                  <c:v>2.36</c:v>
                </c:pt>
                <c:pt idx="6">
                  <c:v>1.2482999999999997</c:v>
                </c:pt>
                <c:pt idx="7">
                  <c:v>1.2482999999999997</c:v>
                </c:pt>
                <c:pt idx="8">
                  <c:v>0.57454181024423057</c:v>
                </c:pt>
                <c:pt idx="9">
                  <c:v>0.57454181024423057</c:v>
                </c:pt>
                <c:pt idx="10">
                  <c:v>1.73</c:v>
                </c:pt>
                <c:pt idx="11">
                  <c:v>2.2400000000000002</c:v>
                </c:pt>
                <c:pt idx="12">
                  <c:v>2.6573510804762321</c:v>
                </c:pt>
                <c:pt idx="13" formatCode="0.00">
                  <c:v>0</c:v>
                </c:pt>
                <c:pt idx="14" formatCode="0.00">
                  <c:v>0</c:v>
                </c:pt>
                <c:pt idx="15" formatCode="0.00">
                  <c:v>0</c:v>
                </c:pt>
                <c:pt idx="16" formatCode="0.00">
                  <c:v>0</c:v>
                </c:pt>
                <c:pt idx="17" formatCode="0.00">
                  <c:v>2.5</c:v>
                </c:pt>
                <c:pt idx="18" formatCode="0.00">
                  <c:v>4.0999999999999996</c:v>
                </c:pt>
                <c:pt idx="19" formatCode="0.00">
                  <c:v>9.76</c:v>
                </c:pt>
                <c:pt idx="20" formatCode="0.00">
                  <c:v>7.0305351754591356</c:v>
                </c:pt>
                <c:pt idx="21" formatCode="0.00">
                  <c:v>7.0305351754591356</c:v>
                </c:pt>
                <c:pt idx="22" formatCode="0.00">
                  <c:v>9.76</c:v>
                </c:pt>
                <c:pt idx="23" formatCode="0.00">
                  <c:v>14.538103609158163</c:v>
                </c:pt>
                <c:pt idx="24" formatCode="0.00">
                  <c:v>235.35296623997996</c:v>
                </c:pt>
                <c:pt idx="25" formatCode="0.00">
                  <c:v>235.35296623997996</c:v>
                </c:pt>
                <c:pt idx="26">
                  <c:v>235.35296623997996</c:v>
                </c:pt>
                <c:pt idx="27">
                  <c:v>1518.7136731777036</c:v>
                </c:pt>
                <c:pt idx="28">
                  <c:v>1518.7136731777036</c:v>
                </c:pt>
                <c:pt idx="29">
                  <c:v>1518.7136731777036</c:v>
                </c:pt>
                <c:pt idx="30">
                  <c:v>1518.7136731777036</c:v>
                </c:pt>
              </c:numCache>
            </c:numRef>
          </c:xVal>
          <c:yVal>
            <c:numRef>
              <c:f>'Tables and graphs'!$Q$79:$Q$109</c:f>
              <c:numCache>
                <c:formatCode>_ * #,##0.00_ ;_ * \-#,##0.00_ ;_ * "-"??_ ;_ @_ </c:formatCode>
                <c:ptCount val="31"/>
                <c:pt idx="0">
                  <c:v>0.319628988972536</c:v>
                </c:pt>
                <c:pt idx="1">
                  <c:v>0.50501380257660688</c:v>
                </c:pt>
                <c:pt idx="2">
                  <c:v>0.35498153961147172</c:v>
                </c:pt>
                <c:pt idx="3">
                  <c:v>1.1519961477551819</c:v>
                </c:pt>
                <c:pt idx="4">
                  <c:v>1.4916019485385017</c:v>
                </c:pt>
                <c:pt idx="5">
                  <c:v>1.5715091957816354</c:v>
                </c:pt>
                <c:pt idx="6">
                  <c:v>0.83123513944670135</c:v>
                </c:pt>
                <c:pt idx="7">
                  <c:v>0.83123513944670135</c:v>
                </c:pt>
                <c:pt idx="8">
                  <c:v>0.38258378735586263</c:v>
                </c:pt>
                <c:pt idx="9">
                  <c:v>0.38258378735586263</c:v>
                </c:pt>
                <c:pt idx="10">
                  <c:v>1.1519961477551819</c:v>
                </c:pt>
                <c:pt idx="11">
                  <c:v>1.4916019485385017</c:v>
                </c:pt>
                <c:pt idx="12">
                  <c:v>1.7695134149951965</c:v>
                </c:pt>
                <c:pt idx="17" formatCode="0.00">
                  <c:v>0.19425019425019427</c:v>
                </c:pt>
                <c:pt idx="18" formatCode="0.00">
                  <c:v>0.31857031857031859</c:v>
                </c:pt>
                <c:pt idx="19" formatCode="0.00">
                  <c:v>0.75835275835275839</c:v>
                </c:pt>
                <c:pt idx="20" formatCode="0.00">
                  <c:v>0.54627312940630424</c:v>
                </c:pt>
                <c:pt idx="21" formatCode="0.00">
                  <c:v>0.54627312940630424</c:v>
                </c:pt>
                <c:pt idx="22" formatCode="0.00">
                  <c:v>0.75835275835275839</c:v>
                </c:pt>
                <c:pt idx="23" formatCode="0.00">
                  <c:v>1.1296117800433694</c:v>
                </c:pt>
                <c:pt idx="24" formatCode="0.00">
                  <c:v>4.3583882637033327</c:v>
                </c:pt>
                <c:pt idx="25" formatCode="0.00">
                  <c:v>4.3583882637033327</c:v>
                </c:pt>
                <c:pt idx="26" formatCode="0.00">
                  <c:v>4.3583882637033327</c:v>
                </c:pt>
                <c:pt idx="27">
                  <c:v>7.612599865552399</c:v>
                </c:pt>
                <c:pt idx="28">
                  <c:v>7.612599865552399</c:v>
                </c:pt>
                <c:pt idx="29">
                  <c:v>7.612599865552399</c:v>
                </c:pt>
                <c:pt idx="30">
                  <c:v>7.612599865552399</c:v>
                </c:pt>
              </c:numCache>
            </c:numRef>
          </c:yVal>
          <c:smooth val="0"/>
        </c:ser>
        <c:dLbls>
          <c:showLegendKey val="0"/>
          <c:showVal val="0"/>
          <c:showCatName val="0"/>
          <c:showSerName val="0"/>
          <c:showPercent val="0"/>
          <c:showBubbleSize val="0"/>
        </c:dLbls>
        <c:axId val="495439064"/>
        <c:axId val="495433184"/>
      </c:scatterChart>
      <c:valAx>
        <c:axId val="495439064"/>
        <c:scaling>
          <c:logBase val="10"/>
          <c:orientation val="minMax"/>
        </c:scaling>
        <c:delete val="0"/>
        <c:axPos val="b"/>
        <c:title>
          <c:tx>
            <c:rich>
              <a:bodyPr/>
              <a:lstStyle/>
              <a:p>
                <a:pPr>
                  <a:defRPr/>
                </a:pPr>
                <a:r>
                  <a:rPr lang="en-US"/>
                  <a:t>Specific energy consumption</a:t>
                </a:r>
              </a:p>
            </c:rich>
          </c:tx>
          <c:overlay val="0"/>
        </c:title>
        <c:numFmt formatCode="_ * #,##0.00_ ;_ * \-#,##0.00_ ;_ * &quot;-&quot;??_ ;_ @_ " sourceLinked="1"/>
        <c:majorTickMark val="out"/>
        <c:minorTickMark val="none"/>
        <c:tickLblPos val="nextTo"/>
        <c:crossAx val="495433184"/>
        <c:crosses val="autoZero"/>
        <c:crossBetween val="midCat"/>
      </c:valAx>
      <c:valAx>
        <c:axId val="495433184"/>
        <c:scaling>
          <c:orientation val="minMax"/>
        </c:scaling>
        <c:delete val="0"/>
        <c:axPos val="l"/>
        <c:majorGridlines/>
        <c:title>
          <c:tx>
            <c:rich>
              <a:bodyPr rot="-5400000" vert="horz"/>
              <a:lstStyle/>
              <a:p>
                <a:pPr>
                  <a:defRPr/>
                </a:pPr>
                <a:r>
                  <a:rPr lang="en-US"/>
                  <a:t>Energy consumption/actual load factor</a:t>
                </a:r>
              </a:p>
            </c:rich>
          </c:tx>
          <c:overlay val="0"/>
        </c:title>
        <c:numFmt formatCode="_ * #,##0.00_ ;_ * \-#,##0.00_ ;_ * &quot;-&quot;??_ ;_ @_ " sourceLinked="1"/>
        <c:majorTickMark val="out"/>
        <c:minorTickMark val="none"/>
        <c:tickLblPos val="nextTo"/>
        <c:crossAx val="4954390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system costs, CEESA scenario</a:t>
            </a:r>
          </a:p>
        </c:rich>
      </c:tx>
      <c:overlay val="0"/>
    </c:title>
    <c:autoTitleDeleted val="0"/>
    <c:plotArea>
      <c:layout/>
      <c:barChart>
        <c:barDir val="col"/>
        <c:grouping val="stacked"/>
        <c:varyColors val="0"/>
        <c:ser>
          <c:idx val="1"/>
          <c:order val="0"/>
          <c:tx>
            <c:strRef>
              <c:f>Results!$AA$35</c:f>
              <c:strCache>
                <c:ptCount val="1"/>
                <c:pt idx="0">
                  <c:v>Fuel / Energy</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Results!$AB$35:$AF$35</c:f>
              <c:numCache>
                <c:formatCode>General</c:formatCode>
                <c:ptCount val="5"/>
              </c:numCache>
            </c:numRef>
          </c:val>
        </c:ser>
        <c:ser>
          <c:idx val="2"/>
          <c:order val="1"/>
          <c:tx>
            <c:strRef>
              <c:f>Results!$AA$36</c:f>
              <c:strCache>
                <c:ptCount val="1"/>
                <c:pt idx="0">
                  <c:v>Vehicle</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Results!$AB$36:$AF$36</c:f>
              <c:numCache>
                <c:formatCode>0</c:formatCode>
                <c:ptCount val="5"/>
                <c:pt idx="0">
                  <c:v>32064.888156097979</c:v>
                </c:pt>
                <c:pt idx="1">
                  <c:v>35631.326849959005</c:v>
                </c:pt>
                <c:pt idx="2">
                  <c:v>39227.700696345884</c:v>
                </c:pt>
                <c:pt idx="3">
                  <c:v>39742.267612833944</c:v>
                </c:pt>
                <c:pt idx="4">
                  <c:v>40256.834529322005</c:v>
                </c:pt>
              </c:numCache>
            </c:numRef>
          </c:val>
        </c:ser>
        <c:ser>
          <c:idx val="3"/>
          <c:order val="2"/>
          <c:tx>
            <c:strRef>
              <c:f>Results!$AA$37</c:f>
              <c:strCache>
                <c:ptCount val="1"/>
                <c:pt idx="0">
                  <c:v>Vehicle O&amp;M</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Results!$AB$37:$AF$37</c:f>
              <c:numCache>
                <c:formatCode>0</c:formatCode>
                <c:ptCount val="5"/>
                <c:pt idx="0">
                  <c:v>19450.760452184386</c:v>
                </c:pt>
                <c:pt idx="1">
                  <c:v>21598.592633655244</c:v>
                </c:pt>
                <c:pt idx="2">
                  <c:v>24147.197985700957</c:v>
                </c:pt>
                <c:pt idx="3">
                  <c:v>24347.10326546523</c:v>
                </c:pt>
                <c:pt idx="4">
                  <c:v>24547.008545229499</c:v>
                </c:pt>
              </c:numCache>
            </c:numRef>
          </c:val>
        </c:ser>
        <c:ser>
          <c:idx val="4"/>
          <c:order val="3"/>
          <c:tx>
            <c:strRef>
              <c:f>Results!$AA$38</c:f>
              <c:strCache>
                <c:ptCount val="1"/>
                <c:pt idx="0">
                  <c:v>EV Charging stations</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Results!$AB$38:$AF$38</c:f>
              <c:numCache>
                <c:formatCode>0</c:formatCode>
                <c:ptCount val="5"/>
                <c:pt idx="0">
                  <c:v>0</c:v>
                </c:pt>
                <c:pt idx="1">
                  <c:v>0</c:v>
                </c:pt>
                <c:pt idx="2">
                  <c:v>0</c:v>
                </c:pt>
                <c:pt idx="3">
                  <c:v>0</c:v>
                </c:pt>
                <c:pt idx="4">
                  <c:v>0</c:v>
                </c:pt>
              </c:numCache>
            </c:numRef>
          </c:val>
        </c:ser>
        <c:ser>
          <c:idx val="5"/>
          <c:order val="4"/>
          <c:tx>
            <c:strRef>
              <c:f>Results!$AA$39</c:f>
              <c:strCache>
                <c:ptCount val="1"/>
                <c:pt idx="0">
                  <c:v>Renewal infrastructure road</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Results!$AB$39:$AF$39</c:f>
              <c:numCache>
                <c:formatCode>0</c:formatCode>
                <c:ptCount val="5"/>
                <c:pt idx="0">
                  <c:v>8231.2568206799442</c:v>
                </c:pt>
                <c:pt idx="1">
                  <c:v>10407.631957645241</c:v>
                </c:pt>
                <c:pt idx="2">
                  <c:v>12904.735902759172</c:v>
                </c:pt>
                <c:pt idx="3">
                  <c:v>14443.46439441994</c:v>
                </c:pt>
                <c:pt idx="4">
                  <c:v>15982.192886080711</c:v>
                </c:pt>
              </c:numCache>
            </c:numRef>
          </c:val>
        </c:ser>
        <c:ser>
          <c:idx val="6"/>
          <c:order val="5"/>
          <c:tx>
            <c:strRef>
              <c:f>Results!$AA$40</c:f>
              <c:strCache>
                <c:ptCount val="1"/>
                <c:pt idx="0">
                  <c:v>New infrastructure road</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Results!$AB$40:$AF$40</c:f>
              <c:numCache>
                <c:formatCode>0</c:formatCode>
                <c:ptCount val="5"/>
                <c:pt idx="0">
                  <c:v>11229.796124168073</c:v>
                </c:pt>
                <c:pt idx="1">
                  <c:v>19143.964755367793</c:v>
                </c:pt>
                <c:pt idx="2">
                  <c:v>18413.891379478919</c:v>
                </c:pt>
                <c:pt idx="3">
                  <c:v>15627.021288662263</c:v>
                </c:pt>
                <c:pt idx="4">
                  <c:v>14025.636961090611</c:v>
                </c:pt>
              </c:numCache>
            </c:numRef>
          </c:val>
        </c:ser>
        <c:ser>
          <c:idx val="0"/>
          <c:order val="6"/>
          <c:tx>
            <c:strRef>
              <c:f>Results!$AA$41</c:f>
              <c:strCache>
                <c:ptCount val="1"/>
                <c:pt idx="0">
                  <c:v>Renewal infrastructure rail</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Results!$AB$41:$AF$41</c:f>
              <c:numCache>
                <c:formatCode>0</c:formatCode>
                <c:ptCount val="5"/>
                <c:pt idx="0">
                  <c:v>2954.2873396446239</c:v>
                </c:pt>
                <c:pt idx="1">
                  <c:v>3028.3769916521883</c:v>
                </c:pt>
                <c:pt idx="2">
                  <c:v>3442.6199715409243</c:v>
                </c:pt>
                <c:pt idx="3">
                  <c:v>3485.8654030614603</c:v>
                </c:pt>
                <c:pt idx="4">
                  <c:v>3529.1108345819962</c:v>
                </c:pt>
              </c:numCache>
            </c:numRef>
          </c:val>
        </c:ser>
        <c:ser>
          <c:idx val="7"/>
          <c:order val="7"/>
          <c:tx>
            <c:strRef>
              <c:f>Results!$AA$42</c:f>
              <c:strCache>
                <c:ptCount val="1"/>
                <c:pt idx="0">
                  <c:v>New infrastructure rail</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Results!$AB$42:$AF$42</c:f>
              <c:numCache>
                <c:formatCode>0</c:formatCode>
                <c:ptCount val="5"/>
                <c:pt idx="0">
                  <c:v>5669.2658459138111</c:v>
                </c:pt>
                <c:pt idx="1">
                  <c:v>10385.438123807755</c:v>
                </c:pt>
                <c:pt idx="2">
                  <c:v>13045.940731761766</c:v>
                </c:pt>
                <c:pt idx="3">
                  <c:v>13748.98665260895</c:v>
                </c:pt>
                <c:pt idx="4">
                  <c:v>14452.032573456132</c:v>
                </c:pt>
              </c:numCache>
            </c:numRef>
          </c:val>
        </c:ser>
        <c:ser>
          <c:idx val="8"/>
          <c:order val="8"/>
          <c:tx>
            <c:strRef>
              <c:f>Results!$AA$43</c:f>
              <c:strCache>
                <c:ptCount val="1"/>
                <c:pt idx="0">
                  <c:v>Other</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Results!$AB$43:$AF$43</c:f>
              <c:numCache>
                <c:formatCode>0</c:formatCode>
                <c:ptCount val="5"/>
                <c:pt idx="0">
                  <c:v>0</c:v>
                </c:pt>
                <c:pt idx="1">
                  <c:v>1158.2143610589721</c:v>
                </c:pt>
                <c:pt idx="2">
                  <c:v>1158.2143610589721</c:v>
                </c:pt>
                <c:pt idx="3">
                  <c:v>1158.2143610589721</c:v>
                </c:pt>
                <c:pt idx="4">
                  <c:v>1158.2143610589721</c:v>
                </c:pt>
              </c:numCache>
            </c:numRef>
          </c:val>
        </c:ser>
        <c:dLbls>
          <c:showLegendKey val="0"/>
          <c:showVal val="0"/>
          <c:showCatName val="0"/>
          <c:showSerName val="0"/>
          <c:showPercent val="0"/>
          <c:showBubbleSize val="0"/>
        </c:dLbls>
        <c:gapWidth val="150"/>
        <c:overlap val="100"/>
        <c:axId val="495441024"/>
        <c:axId val="495437496"/>
      </c:barChart>
      <c:catAx>
        <c:axId val="495441024"/>
        <c:scaling>
          <c:orientation val="minMax"/>
        </c:scaling>
        <c:delete val="0"/>
        <c:axPos val="b"/>
        <c:numFmt formatCode="General" sourceLinked="1"/>
        <c:majorTickMark val="out"/>
        <c:minorTickMark val="none"/>
        <c:tickLblPos val="nextTo"/>
        <c:crossAx val="495437496"/>
        <c:crosses val="autoZero"/>
        <c:auto val="1"/>
        <c:lblAlgn val="ctr"/>
        <c:lblOffset val="100"/>
        <c:noMultiLvlLbl val="0"/>
      </c:catAx>
      <c:valAx>
        <c:axId val="495437496"/>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49544102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energy demand, PJ</a:t>
            </a:r>
          </a:p>
        </c:rich>
      </c:tx>
      <c:overlay val="0"/>
    </c:title>
    <c:autoTitleDeleted val="0"/>
    <c:plotArea>
      <c:layout/>
      <c:barChart>
        <c:barDir val="col"/>
        <c:grouping val="stacked"/>
        <c:varyColors val="0"/>
        <c:ser>
          <c:idx val="1"/>
          <c:order val="0"/>
          <c:tx>
            <c:strRef>
              <c:f>Results!$B$6</c:f>
              <c:strCache>
                <c:ptCount val="1"/>
                <c:pt idx="0">
                  <c:v>Petrol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Results!$C$6:$G$6</c:f>
              <c:numCache>
                <c:formatCode>0</c:formatCode>
                <c:ptCount val="5"/>
                <c:pt idx="0">
                  <c:v>70.806485710680548</c:v>
                </c:pt>
                <c:pt idx="1">
                  <c:v>61.588047399610154</c:v>
                </c:pt>
                <c:pt idx="2">
                  <c:v>57.337858893853266</c:v>
                </c:pt>
                <c:pt idx="3">
                  <c:v>49.028369151447016</c:v>
                </c:pt>
                <c:pt idx="4">
                  <c:v>40.718879409040767</c:v>
                </c:pt>
              </c:numCache>
            </c:numRef>
          </c:val>
        </c:ser>
        <c:ser>
          <c:idx val="2"/>
          <c:order val="1"/>
          <c:tx>
            <c:strRef>
              <c:f>Results!$B$7</c:f>
              <c:strCache>
                <c:ptCount val="1"/>
                <c:pt idx="0">
                  <c:v>Diesel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Results!$C$7:$G$7</c:f>
              <c:numCache>
                <c:formatCode>0</c:formatCode>
                <c:ptCount val="5"/>
                <c:pt idx="0">
                  <c:v>145.72643524434929</c:v>
                </c:pt>
                <c:pt idx="1">
                  <c:v>149.87790555592488</c:v>
                </c:pt>
                <c:pt idx="2">
                  <c:v>158.4648148319942</c:v>
                </c:pt>
                <c:pt idx="3">
                  <c:v>174.28725653377225</c:v>
                </c:pt>
                <c:pt idx="4">
                  <c:v>190.1096982355503</c:v>
                </c:pt>
              </c:numCache>
            </c:numRef>
          </c:val>
        </c:ser>
        <c:ser>
          <c:idx val="3"/>
          <c:order val="2"/>
          <c:tx>
            <c:strRef>
              <c:f>Results!$B$8</c:f>
              <c:strCache>
                <c:ptCount val="1"/>
                <c:pt idx="0">
                  <c:v>Jet-fuel fossil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Results!$C$8:$G$8</c:f>
              <c:numCache>
                <c:formatCode>0</c:formatCode>
                <c:ptCount val="5"/>
                <c:pt idx="0">
                  <c:v>34.130531338372641</c:v>
                </c:pt>
                <c:pt idx="1">
                  <c:v>41.678876507927072</c:v>
                </c:pt>
                <c:pt idx="2">
                  <c:v>44.608384593366296</c:v>
                </c:pt>
                <c:pt idx="3">
                  <c:v>41.88222691356161</c:v>
                </c:pt>
                <c:pt idx="4">
                  <c:v>39.156069233756917</c:v>
                </c:pt>
              </c:numCache>
            </c:numRef>
          </c:val>
        </c:ser>
        <c:ser>
          <c:idx val="4"/>
          <c:order val="3"/>
          <c:tx>
            <c:strRef>
              <c:f>Results!$B$9</c:f>
              <c:strCache>
                <c:ptCount val="1"/>
                <c:pt idx="0">
                  <c:v>Biogas</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Results!$C$9:$G$9</c:f>
              <c:numCache>
                <c:formatCode>0</c:formatCode>
                <c:ptCount val="5"/>
                <c:pt idx="0">
                  <c:v>0</c:v>
                </c:pt>
                <c:pt idx="1">
                  <c:v>0</c:v>
                </c:pt>
                <c:pt idx="2">
                  <c:v>0</c:v>
                </c:pt>
                <c:pt idx="3">
                  <c:v>0</c:v>
                </c:pt>
                <c:pt idx="4">
                  <c:v>0</c:v>
                </c:pt>
              </c:numCache>
            </c:numRef>
          </c:val>
        </c:ser>
        <c:ser>
          <c:idx val="5"/>
          <c:order val="4"/>
          <c:tx>
            <c:strRef>
              <c:f>Results!$B$10</c:f>
              <c:strCache>
                <c:ptCount val="1"/>
                <c:pt idx="0">
                  <c:v>Bioethanol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Results!$C$10:$G$10</c:f>
              <c:numCache>
                <c:formatCode>0</c:formatCode>
                <c:ptCount val="5"/>
                <c:pt idx="0">
                  <c:v>0.22948338869161566</c:v>
                </c:pt>
                <c:pt idx="1">
                  <c:v>4.0476132807982825</c:v>
                </c:pt>
                <c:pt idx="2">
                  <c:v>4.3060323532242677</c:v>
                </c:pt>
                <c:pt idx="3">
                  <c:v>4.6027337096996082</c:v>
                </c:pt>
                <c:pt idx="4">
                  <c:v>4.8994350661749468</c:v>
                </c:pt>
              </c:numCache>
            </c:numRef>
          </c:val>
        </c:ser>
        <c:ser>
          <c:idx val="11"/>
          <c:order val="5"/>
          <c:tx>
            <c:strRef>
              <c:f>Results!$B$11</c:f>
              <c:strCache>
                <c:ptCount val="1"/>
                <c:pt idx="0">
                  <c:v>Biodiesel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Results!$C$11:$G$11</c:f>
              <c:numCache>
                <c:formatCode>0</c:formatCode>
                <c:ptCount val="5"/>
                <c:pt idx="0">
                  <c:v>0.67872892314868094</c:v>
                </c:pt>
                <c:pt idx="1">
                  <c:v>6.9363993604705119</c:v>
                </c:pt>
                <c:pt idx="2">
                  <c:v>7.1968925856141652</c:v>
                </c:pt>
                <c:pt idx="3">
                  <c:v>7.5361279424928478</c:v>
                </c:pt>
                <c:pt idx="4">
                  <c:v>7.8753632993715303</c:v>
                </c:pt>
              </c:numCache>
            </c:numRef>
          </c:val>
        </c:ser>
        <c:ser>
          <c:idx val="6"/>
          <c:order val="6"/>
          <c:tx>
            <c:strRef>
              <c:f>Results!$B$12</c:f>
              <c:strCache>
                <c:ptCount val="1"/>
                <c:pt idx="0">
                  <c:v>Bio-methanol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Results!$C$12:$G$12</c:f>
              <c:numCache>
                <c:formatCode>0</c:formatCode>
                <c:ptCount val="5"/>
                <c:pt idx="0">
                  <c:v>0</c:v>
                </c:pt>
                <c:pt idx="1">
                  <c:v>0</c:v>
                </c:pt>
                <c:pt idx="2">
                  <c:v>0</c:v>
                </c:pt>
                <c:pt idx="3">
                  <c:v>0</c:v>
                </c:pt>
                <c:pt idx="4">
                  <c:v>0</c:v>
                </c:pt>
              </c:numCache>
            </c:numRef>
          </c:val>
        </c:ser>
        <c:ser>
          <c:idx val="7"/>
          <c:order val="7"/>
          <c:tx>
            <c:strRef>
              <c:f>Results!$B$13</c:f>
              <c:strCache>
                <c:ptCount val="1"/>
                <c:pt idx="0">
                  <c:v>Bio-jetfuel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Results!$C$13:$G$13</c:f>
              <c:numCache>
                <c:formatCode>0</c:formatCode>
                <c:ptCount val="5"/>
                <c:pt idx="0">
                  <c:v>0</c:v>
                </c:pt>
                <c:pt idx="1">
                  <c:v>0</c:v>
                </c:pt>
                <c:pt idx="2">
                  <c:v>0</c:v>
                </c:pt>
                <c:pt idx="3">
                  <c:v>0</c:v>
                </c:pt>
                <c:pt idx="4">
                  <c:v>0</c:v>
                </c:pt>
              </c:numCache>
            </c:numRef>
          </c:val>
        </c:ser>
        <c:ser>
          <c:idx val="8"/>
          <c:order val="8"/>
          <c:tx>
            <c:strRef>
              <c:f>Results!$B$14</c:f>
              <c:strCache>
                <c:ptCount val="1"/>
                <c:pt idx="0">
                  <c:v>Syn-methanol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Results!$C$14:$G$14</c:f>
              <c:numCache>
                <c:formatCode>0</c:formatCode>
                <c:ptCount val="5"/>
                <c:pt idx="0">
                  <c:v>0</c:v>
                </c:pt>
                <c:pt idx="1">
                  <c:v>0</c:v>
                </c:pt>
                <c:pt idx="2">
                  <c:v>0</c:v>
                </c:pt>
                <c:pt idx="3">
                  <c:v>0</c:v>
                </c:pt>
                <c:pt idx="4">
                  <c:v>0</c:v>
                </c:pt>
              </c:numCache>
            </c:numRef>
          </c:val>
        </c:ser>
        <c:ser>
          <c:idx val="9"/>
          <c:order val="9"/>
          <c:tx>
            <c:strRef>
              <c:f>Results!$B$15</c:f>
              <c:strCache>
                <c:ptCount val="1"/>
                <c:pt idx="0">
                  <c:v>Syn-jetfuel</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Results!$C$15:$G$15</c:f>
              <c:numCache>
                <c:formatCode>0</c:formatCode>
                <c:ptCount val="5"/>
                <c:pt idx="0">
                  <c:v>0</c:v>
                </c:pt>
                <c:pt idx="1">
                  <c:v>0</c:v>
                </c:pt>
                <c:pt idx="2">
                  <c:v>0</c:v>
                </c:pt>
                <c:pt idx="3">
                  <c:v>0</c:v>
                </c:pt>
                <c:pt idx="4">
                  <c:v>0</c:v>
                </c:pt>
              </c:numCache>
            </c:numRef>
          </c:val>
        </c:ser>
        <c:ser>
          <c:idx val="10"/>
          <c:order val="10"/>
          <c:tx>
            <c:strRef>
              <c:f>Results!$B$16</c:f>
              <c:strCache>
                <c:ptCount val="1"/>
                <c:pt idx="0">
                  <c:v>Electricity Train / bus</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Results!$C$16:$G$16</c:f>
              <c:numCache>
                <c:formatCode>0</c:formatCode>
                <c:ptCount val="5"/>
                <c:pt idx="0">
                  <c:v>1.4400261444444442</c:v>
                </c:pt>
                <c:pt idx="1">
                  <c:v>2.604060284181609</c:v>
                </c:pt>
                <c:pt idx="2">
                  <c:v>3.0546053753048596</c:v>
                </c:pt>
                <c:pt idx="3">
                  <c:v>3.1118580784779448</c:v>
                </c:pt>
                <c:pt idx="4">
                  <c:v>3.1691107816510304</c:v>
                </c:pt>
              </c:numCache>
            </c:numRef>
          </c:val>
        </c:ser>
        <c:ser>
          <c:idx val="12"/>
          <c:order val="11"/>
          <c:tx>
            <c:strRef>
              <c:f>Results!$B$17</c:f>
              <c:strCache>
                <c:ptCount val="1"/>
                <c:pt idx="0">
                  <c:v>Electricity BEV + Plug-in-hybrid</c:v>
                </c:pt>
              </c:strCache>
            </c:strRef>
          </c:tx>
          <c:invertIfNegative val="0"/>
          <c:cat>
            <c:numRef>
              <c:f>Results!$C$4:$G$4</c:f>
              <c:numCache>
                <c:formatCode>General</c:formatCode>
                <c:ptCount val="5"/>
                <c:pt idx="0">
                  <c:v>2010</c:v>
                </c:pt>
                <c:pt idx="1">
                  <c:v>2020</c:v>
                </c:pt>
                <c:pt idx="2">
                  <c:v>2030</c:v>
                </c:pt>
                <c:pt idx="3">
                  <c:v>2040</c:v>
                </c:pt>
                <c:pt idx="4">
                  <c:v>2050</c:v>
                </c:pt>
              </c:numCache>
            </c:numRef>
          </c:cat>
          <c:val>
            <c:numRef>
              <c:f>Results!$C$17:$G$17</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15434928"/>
        <c:axId val="115429048"/>
      </c:barChart>
      <c:catAx>
        <c:axId val="115434928"/>
        <c:scaling>
          <c:orientation val="minMax"/>
        </c:scaling>
        <c:delete val="0"/>
        <c:axPos val="b"/>
        <c:numFmt formatCode="General" sourceLinked="1"/>
        <c:majorTickMark val="out"/>
        <c:minorTickMark val="none"/>
        <c:tickLblPos val="nextTo"/>
        <c:crossAx val="115429048"/>
        <c:crosses val="autoZero"/>
        <c:auto val="1"/>
        <c:lblAlgn val="ctr"/>
        <c:lblOffset val="100"/>
        <c:noMultiLvlLbl val="0"/>
      </c:catAx>
      <c:valAx>
        <c:axId val="115429048"/>
        <c:scaling>
          <c:orientation val="minMax"/>
        </c:scaling>
        <c:delete val="0"/>
        <c:axPos val="l"/>
        <c:majorGridlines/>
        <c:numFmt formatCode="#,##0" sourceLinked="0"/>
        <c:majorTickMark val="out"/>
        <c:minorTickMark val="none"/>
        <c:tickLblPos val="nextTo"/>
        <c:crossAx val="115434928"/>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system costs, CEESA scenario</a:t>
            </a:r>
          </a:p>
        </c:rich>
      </c:tx>
      <c:overlay val="0"/>
    </c:title>
    <c:autoTitleDeleted val="0"/>
    <c:plotArea>
      <c:layout/>
      <c:barChart>
        <c:barDir val="col"/>
        <c:grouping val="stacked"/>
        <c:varyColors val="0"/>
        <c:ser>
          <c:idx val="1"/>
          <c:order val="0"/>
          <c:tx>
            <c:strRef>
              <c:f>Results!$AA$50</c:f>
              <c:strCache>
                <c:ptCount val="1"/>
                <c:pt idx="0">
                  <c:v>Fuel / Energy</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Results!$AB$50:$AF$50</c:f>
              <c:numCache>
                <c:formatCode>General</c:formatCode>
                <c:ptCount val="5"/>
                <c:pt idx="0">
                  <c:v>0</c:v>
                </c:pt>
                <c:pt idx="1">
                  <c:v>0</c:v>
                </c:pt>
                <c:pt idx="2">
                  <c:v>0</c:v>
                </c:pt>
                <c:pt idx="3">
                  <c:v>0</c:v>
                </c:pt>
                <c:pt idx="4">
                  <c:v>0</c:v>
                </c:pt>
              </c:numCache>
            </c:numRef>
          </c:val>
        </c:ser>
        <c:ser>
          <c:idx val="2"/>
          <c:order val="1"/>
          <c:tx>
            <c:strRef>
              <c:f>Results!$AA$51</c:f>
              <c:strCache>
                <c:ptCount val="1"/>
                <c:pt idx="0">
                  <c:v>Vehicle</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Results!$AB$51:$AF$51</c:f>
              <c:numCache>
                <c:formatCode>0</c:formatCode>
                <c:ptCount val="5"/>
                <c:pt idx="0">
                  <c:v>32064.888156097979</c:v>
                </c:pt>
                <c:pt idx="1">
                  <c:v>35631.326849959005</c:v>
                </c:pt>
                <c:pt idx="2">
                  <c:v>39227.700696345884</c:v>
                </c:pt>
                <c:pt idx="3">
                  <c:v>39742.267612833944</c:v>
                </c:pt>
                <c:pt idx="4">
                  <c:v>40256.834529322005</c:v>
                </c:pt>
              </c:numCache>
            </c:numRef>
          </c:val>
        </c:ser>
        <c:ser>
          <c:idx val="3"/>
          <c:order val="2"/>
          <c:tx>
            <c:strRef>
              <c:f>Results!$AA$52</c:f>
              <c:strCache>
                <c:ptCount val="1"/>
                <c:pt idx="0">
                  <c:v>Vehicle O&amp;M</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Results!$AB$52:$AF$52</c:f>
              <c:numCache>
                <c:formatCode>0</c:formatCode>
                <c:ptCount val="5"/>
                <c:pt idx="0">
                  <c:v>19450.760452184386</c:v>
                </c:pt>
                <c:pt idx="1">
                  <c:v>21598.592633655244</c:v>
                </c:pt>
                <c:pt idx="2">
                  <c:v>24147.197985700957</c:v>
                </c:pt>
                <c:pt idx="3">
                  <c:v>24347.10326546523</c:v>
                </c:pt>
                <c:pt idx="4">
                  <c:v>24547.008545229499</c:v>
                </c:pt>
              </c:numCache>
            </c:numRef>
          </c:val>
        </c:ser>
        <c:ser>
          <c:idx val="4"/>
          <c:order val="3"/>
          <c:tx>
            <c:strRef>
              <c:f>Results!$AA$53</c:f>
              <c:strCache>
                <c:ptCount val="1"/>
                <c:pt idx="0">
                  <c:v>EV Charging stations</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Results!$AB$53:$AF$53</c:f>
              <c:numCache>
                <c:formatCode>0</c:formatCode>
                <c:ptCount val="5"/>
                <c:pt idx="0">
                  <c:v>0</c:v>
                </c:pt>
                <c:pt idx="1">
                  <c:v>0</c:v>
                </c:pt>
                <c:pt idx="2">
                  <c:v>0</c:v>
                </c:pt>
                <c:pt idx="3">
                  <c:v>0</c:v>
                </c:pt>
                <c:pt idx="4">
                  <c:v>0</c:v>
                </c:pt>
              </c:numCache>
            </c:numRef>
          </c:val>
        </c:ser>
        <c:ser>
          <c:idx val="5"/>
          <c:order val="4"/>
          <c:tx>
            <c:strRef>
              <c:f>Results!$AA$54</c:f>
              <c:strCache>
                <c:ptCount val="1"/>
                <c:pt idx="0">
                  <c:v>Renewal infrastructure road</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Results!$AB$54:$AF$54</c:f>
              <c:numCache>
                <c:formatCode>0</c:formatCode>
                <c:ptCount val="5"/>
                <c:pt idx="1">
                  <c:v>2176.3751369652964</c:v>
                </c:pt>
                <c:pt idx="2">
                  <c:v>4673.4790820792277</c:v>
                </c:pt>
                <c:pt idx="3">
                  <c:v>6212.2075737399955</c:v>
                </c:pt>
                <c:pt idx="4">
                  <c:v>7750.9360654007669</c:v>
                </c:pt>
              </c:numCache>
            </c:numRef>
          </c:val>
        </c:ser>
        <c:ser>
          <c:idx val="6"/>
          <c:order val="5"/>
          <c:tx>
            <c:strRef>
              <c:f>Results!$AA$55</c:f>
              <c:strCache>
                <c:ptCount val="1"/>
                <c:pt idx="0">
                  <c:v>New infrastructure road</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Results!$AB$55:$AF$55</c:f>
              <c:numCache>
                <c:formatCode>0</c:formatCode>
                <c:ptCount val="5"/>
                <c:pt idx="1">
                  <c:v>7914.16863119972</c:v>
                </c:pt>
                <c:pt idx="2">
                  <c:v>7184.0952553108455</c:v>
                </c:pt>
                <c:pt idx="3">
                  <c:v>4397.2251644941898</c:v>
                </c:pt>
                <c:pt idx="4">
                  <c:v>2795.8408369225381</c:v>
                </c:pt>
              </c:numCache>
            </c:numRef>
          </c:val>
        </c:ser>
        <c:ser>
          <c:idx val="0"/>
          <c:order val="6"/>
          <c:tx>
            <c:strRef>
              <c:f>Results!$AA$56</c:f>
              <c:strCache>
                <c:ptCount val="1"/>
                <c:pt idx="0">
                  <c:v>Renewal infrastructure rail</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Results!$AB$56:$AF$56</c:f>
              <c:numCache>
                <c:formatCode>0</c:formatCode>
                <c:ptCount val="5"/>
                <c:pt idx="1">
                  <c:v>74.089652007564382</c:v>
                </c:pt>
                <c:pt idx="2">
                  <c:v>488.33263189630043</c:v>
                </c:pt>
                <c:pt idx="3">
                  <c:v>531.57806341683636</c:v>
                </c:pt>
                <c:pt idx="4">
                  <c:v>574.82349493737229</c:v>
                </c:pt>
              </c:numCache>
            </c:numRef>
          </c:val>
        </c:ser>
        <c:ser>
          <c:idx val="7"/>
          <c:order val="7"/>
          <c:tx>
            <c:strRef>
              <c:f>Results!$AA$57</c:f>
              <c:strCache>
                <c:ptCount val="1"/>
                <c:pt idx="0">
                  <c:v>New infrastructure rail</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Results!$AB$57:$AF$57</c:f>
              <c:numCache>
                <c:formatCode>0</c:formatCode>
                <c:ptCount val="5"/>
                <c:pt idx="1">
                  <c:v>4716.1722778939438</c:v>
                </c:pt>
                <c:pt idx="2">
                  <c:v>7376.674885847955</c:v>
                </c:pt>
                <c:pt idx="3">
                  <c:v>8079.7208066951389</c:v>
                </c:pt>
                <c:pt idx="4">
                  <c:v>8782.766727542321</c:v>
                </c:pt>
              </c:numCache>
            </c:numRef>
          </c:val>
        </c:ser>
        <c:ser>
          <c:idx val="8"/>
          <c:order val="8"/>
          <c:tx>
            <c:strRef>
              <c:f>Results!$AA$58</c:f>
              <c:strCache>
                <c:ptCount val="1"/>
                <c:pt idx="0">
                  <c:v>Other</c:v>
                </c:pt>
              </c:strCache>
            </c:strRef>
          </c:tx>
          <c:invertIfNegative val="0"/>
          <c:cat>
            <c:numRef>
              <c:f>Results!$AB$33:$AF$33</c:f>
              <c:numCache>
                <c:formatCode>General</c:formatCode>
                <c:ptCount val="5"/>
                <c:pt idx="0">
                  <c:v>2010</c:v>
                </c:pt>
                <c:pt idx="1">
                  <c:v>2020</c:v>
                </c:pt>
                <c:pt idx="2">
                  <c:v>2030</c:v>
                </c:pt>
                <c:pt idx="3">
                  <c:v>2040</c:v>
                </c:pt>
                <c:pt idx="4">
                  <c:v>2050</c:v>
                </c:pt>
              </c:numCache>
            </c:numRef>
          </c:cat>
          <c:val>
            <c:numRef>
              <c:f>Results!$AB$58:$AF$58</c:f>
              <c:numCache>
                <c:formatCode>0</c:formatCode>
                <c:ptCount val="5"/>
                <c:pt idx="0">
                  <c:v>0</c:v>
                </c:pt>
                <c:pt idx="1">
                  <c:v>1158.2143610589721</c:v>
                </c:pt>
                <c:pt idx="2">
                  <c:v>1158.2143610589721</c:v>
                </c:pt>
                <c:pt idx="3">
                  <c:v>1158.2143610589721</c:v>
                </c:pt>
                <c:pt idx="4">
                  <c:v>1158.2143610589721</c:v>
                </c:pt>
              </c:numCache>
            </c:numRef>
          </c:val>
        </c:ser>
        <c:dLbls>
          <c:showLegendKey val="0"/>
          <c:showVal val="0"/>
          <c:showCatName val="0"/>
          <c:showSerName val="0"/>
          <c:showPercent val="0"/>
          <c:showBubbleSize val="0"/>
        </c:dLbls>
        <c:gapWidth val="150"/>
        <c:overlap val="100"/>
        <c:axId val="495436712"/>
        <c:axId val="495437104"/>
      </c:barChart>
      <c:catAx>
        <c:axId val="495436712"/>
        <c:scaling>
          <c:orientation val="minMax"/>
        </c:scaling>
        <c:delete val="0"/>
        <c:axPos val="b"/>
        <c:numFmt formatCode="General" sourceLinked="1"/>
        <c:majorTickMark val="out"/>
        <c:minorTickMark val="none"/>
        <c:tickLblPos val="nextTo"/>
        <c:crossAx val="495437104"/>
        <c:crosses val="autoZero"/>
        <c:auto val="1"/>
        <c:lblAlgn val="ctr"/>
        <c:lblOffset val="100"/>
        <c:noMultiLvlLbl val="0"/>
      </c:catAx>
      <c:valAx>
        <c:axId val="495437104"/>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495436712"/>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Passenger transport energy demand, PJ</a:t>
            </a:r>
          </a:p>
        </c:rich>
      </c:tx>
      <c:overlay val="0"/>
    </c:title>
    <c:autoTitleDeleted val="0"/>
    <c:plotArea>
      <c:layout/>
      <c:barChart>
        <c:barDir val="col"/>
        <c:grouping val="stacked"/>
        <c:varyColors val="0"/>
        <c:ser>
          <c:idx val="1"/>
          <c:order val="0"/>
          <c:tx>
            <c:strRef>
              <c:f>Results!$B$24</c:f>
              <c:strCache>
                <c:ptCount val="1"/>
                <c:pt idx="0">
                  <c:v>Petrol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Results!$C$24:$G$24</c:f>
              <c:numCache>
                <c:formatCode>0</c:formatCode>
                <c:ptCount val="5"/>
                <c:pt idx="0">
                  <c:v>65.127385710680542</c:v>
                </c:pt>
                <c:pt idx="1">
                  <c:v>60.28928421883829</c:v>
                </c:pt>
                <c:pt idx="2">
                  <c:v>55.942759300074052</c:v>
                </c:pt>
                <c:pt idx="3">
                  <c:v>47.52953788955859</c:v>
                </c:pt>
                <c:pt idx="4">
                  <c:v>39.116316479043128</c:v>
                </c:pt>
              </c:numCache>
            </c:numRef>
          </c:val>
        </c:ser>
        <c:ser>
          <c:idx val="2"/>
          <c:order val="1"/>
          <c:tx>
            <c:strRef>
              <c:f>Results!$B$25</c:f>
              <c:strCache>
                <c:ptCount val="1"/>
                <c:pt idx="0">
                  <c:v>Diesel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Results!$C$25:$G$25</c:f>
              <c:numCache>
                <c:formatCode>0</c:formatCode>
                <c:ptCount val="5"/>
                <c:pt idx="0">
                  <c:v>40.472995670724366</c:v>
                </c:pt>
                <c:pt idx="1">
                  <c:v>42.37179299978488</c:v>
                </c:pt>
                <c:pt idx="2">
                  <c:v>51.287803721363666</c:v>
                </c:pt>
                <c:pt idx="3">
                  <c:v>65.960695853123212</c:v>
                </c:pt>
                <c:pt idx="4">
                  <c:v>80.633587984882752</c:v>
                </c:pt>
              </c:numCache>
            </c:numRef>
          </c:val>
        </c:ser>
        <c:ser>
          <c:idx val="3"/>
          <c:order val="2"/>
          <c:tx>
            <c:strRef>
              <c:f>Results!$B$26</c:f>
              <c:strCache>
                <c:ptCount val="1"/>
                <c:pt idx="0">
                  <c:v>Jet-fuel fossil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Results!$C$26:$G$26</c:f>
              <c:numCache>
                <c:formatCode>0</c:formatCode>
                <c:ptCount val="5"/>
                <c:pt idx="0">
                  <c:v>26.689175738372644</c:v>
                </c:pt>
                <c:pt idx="1">
                  <c:v>33.40940022420309</c:v>
                </c:pt>
                <c:pt idx="2">
                  <c:v>36.331487865090637</c:v>
                </c:pt>
                <c:pt idx="3">
                  <c:v>34.339680266271827</c:v>
                </c:pt>
                <c:pt idx="4">
                  <c:v>32.347872667453018</c:v>
                </c:pt>
              </c:numCache>
            </c:numRef>
          </c:val>
        </c:ser>
        <c:ser>
          <c:idx val="4"/>
          <c:order val="3"/>
          <c:tx>
            <c:strRef>
              <c:f>Results!$B$27</c:f>
              <c:strCache>
                <c:ptCount val="1"/>
                <c:pt idx="0">
                  <c:v>Biogas</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Results!$C$27:$G$27</c:f>
              <c:numCache>
                <c:formatCode>0</c:formatCode>
                <c:ptCount val="5"/>
                <c:pt idx="0">
                  <c:v>0</c:v>
                </c:pt>
                <c:pt idx="1">
                  <c:v>0</c:v>
                </c:pt>
                <c:pt idx="2">
                  <c:v>0</c:v>
                </c:pt>
                <c:pt idx="3">
                  <c:v>0</c:v>
                </c:pt>
                <c:pt idx="4">
                  <c:v>0</c:v>
                </c:pt>
              </c:numCache>
            </c:numRef>
          </c:val>
        </c:ser>
        <c:ser>
          <c:idx val="5"/>
          <c:order val="4"/>
          <c:tx>
            <c:strRef>
              <c:f>Results!$B$28</c:f>
              <c:strCache>
                <c:ptCount val="1"/>
                <c:pt idx="0">
                  <c:v>Bioethanol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Results!$C$28:$G$28</c:f>
              <c:numCache>
                <c:formatCode>0</c:formatCode>
                <c:ptCount val="5"/>
                <c:pt idx="0">
                  <c:v>0.22948338869161566</c:v>
                </c:pt>
                <c:pt idx="1">
                  <c:v>2.794862813306898</c:v>
                </c:pt>
                <c:pt idx="2">
                  <c:v>2.9603584889056966</c:v>
                </c:pt>
                <c:pt idx="3">
                  <c:v>3.1570031932974372</c:v>
                </c:pt>
                <c:pt idx="4">
                  <c:v>3.3536478976891777</c:v>
                </c:pt>
              </c:numCache>
            </c:numRef>
          </c:val>
        </c:ser>
        <c:ser>
          <c:idx val="11"/>
          <c:order val="5"/>
          <c:tx>
            <c:strRef>
              <c:f>Results!$B$29</c:f>
              <c:strCache>
                <c:ptCount val="1"/>
                <c:pt idx="0">
                  <c:v>Biodiesel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Results!$C$29:$G$29</c:f>
              <c:numCache>
                <c:formatCode>0</c:formatCode>
                <c:ptCount val="5"/>
                <c:pt idx="0">
                  <c:v>0.27428441317461472</c:v>
                </c:pt>
                <c:pt idx="1">
                  <c:v>3.2852872233187731</c:v>
                </c:pt>
                <c:pt idx="2">
                  <c:v>3.4151033889827955</c:v>
                </c:pt>
                <c:pt idx="3">
                  <c:v>3.5995424090720674</c:v>
                </c:pt>
                <c:pt idx="4">
                  <c:v>3.7839814291613396</c:v>
                </c:pt>
              </c:numCache>
            </c:numRef>
          </c:val>
        </c:ser>
        <c:ser>
          <c:idx val="6"/>
          <c:order val="6"/>
          <c:tx>
            <c:strRef>
              <c:f>Results!$B$30</c:f>
              <c:strCache>
                <c:ptCount val="1"/>
                <c:pt idx="0">
                  <c:v>Bio-methanol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Results!$C$30:$G$30</c:f>
              <c:numCache>
                <c:formatCode>0</c:formatCode>
                <c:ptCount val="5"/>
                <c:pt idx="0">
                  <c:v>0</c:v>
                </c:pt>
                <c:pt idx="1">
                  <c:v>0</c:v>
                </c:pt>
                <c:pt idx="2">
                  <c:v>0</c:v>
                </c:pt>
                <c:pt idx="3">
                  <c:v>0</c:v>
                </c:pt>
                <c:pt idx="4">
                  <c:v>0</c:v>
                </c:pt>
              </c:numCache>
            </c:numRef>
          </c:val>
        </c:ser>
        <c:ser>
          <c:idx val="7"/>
          <c:order val="7"/>
          <c:tx>
            <c:strRef>
              <c:f>Results!$B$31</c:f>
              <c:strCache>
                <c:ptCount val="1"/>
                <c:pt idx="0">
                  <c:v>Bio-jetfuel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Results!$C$31:$G$31</c:f>
              <c:numCache>
                <c:formatCode>0</c:formatCode>
                <c:ptCount val="5"/>
                <c:pt idx="0">
                  <c:v>0</c:v>
                </c:pt>
                <c:pt idx="1">
                  <c:v>0</c:v>
                </c:pt>
                <c:pt idx="2">
                  <c:v>0</c:v>
                </c:pt>
                <c:pt idx="3">
                  <c:v>0</c:v>
                </c:pt>
                <c:pt idx="4">
                  <c:v>0</c:v>
                </c:pt>
              </c:numCache>
            </c:numRef>
          </c:val>
        </c:ser>
        <c:ser>
          <c:idx val="8"/>
          <c:order val="8"/>
          <c:tx>
            <c:strRef>
              <c:f>Results!$B$32</c:f>
              <c:strCache>
                <c:ptCount val="1"/>
                <c:pt idx="0">
                  <c:v>Syn-methanol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Results!$C$32:$G$32</c:f>
              <c:numCache>
                <c:formatCode>0</c:formatCode>
                <c:ptCount val="5"/>
                <c:pt idx="0">
                  <c:v>0</c:v>
                </c:pt>
                <c:pt idx="1">
                  <c:v>0</c:v>
                </c:pt>
                <c:pt idx="2">
                  <c:v>0</c:v>
                </c:pt>
                <c:pt idx="3">
                  <c:v>0</c:v>
                </c:pt>
                <c:pt idx="4">
                  <c:v>0</c:v>
                </c:pt>
              </c:numCache>
            </c:numRef>
          </c:val>
        </c:ser>
        <c:ser>
          <c:idx val="9"/>
          <c:order val="9"/>
          <c:tx>
            <c:strRef>
              <c:f>Results!$B$33</c:f>
              <c:strCache>
                <c:ptCount val="1"/>
                <c:pt idx="0">
                  <c:v>Syn-jetfuel</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Results!$C$33:$G$33</c:f>
              <c:numCache>
                <c:formatCode>0</c:formatCode>
                <c:ptCount val="5"/>
                <c:pt idx="0">
                  <c:v>0</c:v>
                </c:pt>
                <c:pt idx="1">
                  <c:v>0</c:v>
                </c:pt>
                <c:pt idx="2">
                  <c:v>0</c:v>
                </c:pt>
                <c:pt idx="3">
                  <c:v>0</c:v>
                </c:pt>
                <c:pt idx="4">
                  <c:v>0</c:v>
                </c:pt>
              </c:numCache>
            </c:numRef>
          </c:val>
        </c:ser>
        <c:ser>
          <c:idx val="10"/>
          <c:order val="10"/>
          <c:tx>
            <c:strRef>
              <c:f>Results!$B$34</c:f>
              <c:strCache>
                <c:ptCount val="1"/>
                <c:pt idx="0">
                  <c:v>Electricity Train / bus</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Results!$C$34:$G$34</c:f>
              <c:numCache>
                <c:formatCode>0</c:formatCode>
                <c:ptCount val="5"/>
                <c:pt idx="0">
                  <c:v>1.2884448444444443</c:v>
                </c:pt>
                <c:pt idx="1">
                  <c:v>2.4188278446952092</c:v>
                </c:pt>
                <c:pt idx="2">
                  <c:v>2.8326932118478378</c:v>
                </c:pt>
                <c:pt idx="3">
                  <c:v>2.8685255252994484</c:v>
                </c:pt>
                <c:pt idx="4">
                  <c:v>2.9043578387510589</c:v>
                </c:pt>
              </c:numCache>
            </c:numRef>
          </c:val>
        </c:ser>
        <c:ser>
          <c:idx val="12"/>
          <c:order val="11"/>
          <c:tx>
            <c:strRef>
              <c:f>Results!$B$35</c:f>
              <c:strCache>
                <c:ptCount val="1"/>
                <c:pt idx="0">
                  <c:v>Electricity BEV + Plug-in-hybrid</c:v>
                </c:pt>
              </c:strCache>
            </c:strRef>
          </c:tx>
          <c:invertIfNegative val="0"/>
          <c:cat>
            <c:numRef>
              <c:f>Results!$C$22:$G$22</c:f>
              <c:numCache>
                <c:formatCode>0</c:formatCode>
                <c:ptCount val="5"/>
                <c:pt idx="0">
                  <c:v>2010</c:v>
                </c:pt>
                <c:pt idx="1">
                  <c:v>2020</c:v>
                </c:pt>
                <c:pt idx="2">
                  <c:v>2030</c:v>
                </c:pt>
                <c:pt idx="3">
                  <c:v>2040</c:v>
                </c:pt>
                <c:pt idx="4">
                  <c:v>2050</c:v>
                </c:pt>
              </c:numCache>
            </c:numRef>
          </c:cat>
          <c:val>
            <c:numRef>
              <c:f>Results!$C$35:$G$35</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17375304"/>
        <c:axId val="117369424"/>
      </c:barChart>
      <c:catAx>
        <c:axId val="117375304"/>
        <c:scaling>
          <c:orientation val="minMax"/>
        </c:scaling>
        <c:delete val="0"/>
        <c:axPos val="b"/>
        <c:numFmt formatCode="0" sourceLinked="1"/>
        <c:majorTickMark val="out"/>
        <c:minorTickMark val="none"/>
        <c:tickLblPos val="nextTo"/>
        <c:crossAx val="117369424"/>
        <c:crosses val="autoZero"/>
        <c:auto val="1"/>
        <c:lblAlgn val="ctr"/>
        <c:lblOffset val="100"/>
        <c:noMultiLvlLbl val="0"/>
      </c:catAx>
      <c:valAx>
        <c:axId val="117369424"/>
        <c:scaling>
          <c:orientation val="minMax"/>
        </c:scaling>
        <c:delete val="0"/>
        <c:axPos val="l"/>
        <c:majorGridlines/>
        <c:numFmt formatCode="#,##0" sourceLinked="0"/>
        <c:majorTickMark val="out"/>
        <c:minorTickMark val="none"/>
        <c:tickLblPos val="nextTo"/>
        <c:crossAx val="117375304"/>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Freight energy transport demand, PJ (incl. international)</a:t>
            </a:r>
          </a:p>
        </c:rich>
      </c:tx>
      <c:overlay val="0"/>
    </c:title>
    <c:autoTitleDeleted val="0"/>
    <c:plotArea>
      <c:layout/>
      <c:barChart>
        <c:barDir val="col"/>
        <c:grouping val="stacked"/>
        <c:varyColors val="0"/>
        <c:ser>
          <c:idx val="1"/>
          <c:order val="0"/>
          <c:tx>
            <c:strRef>
              <c:f>Results!$B$42</c:f>
              <c:strCache>
                <c:ptCount val="1"/>
                <c:pt idx="0">
                  <c:v>Petrol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Results!$C$42:$G$42</c:f>
              <c:numCache>
                <c:formatCode>0</c:formatCode>
                <c:ptCount val="5"/>
                <c:pt idx="0">
                  <c:v>5.6791</c:v>
                </c:pt>
                <c:pt idx="1">
                  <c:v>1.298763180771862</c:v>
                </c:pt>
                <c:pt idx="2">
                  <c:v>1.3950995937792141</c:v>
                </c:pt>
                <c:pt idx="3">
                  <c:v>1.4988312618884274</c:v>
                </c:pt>
                <c:pt idx="4">
                  <c:v>1.6025629299976409</c:v>
                </c:pt>
              </c:numCache>
            </c:numRef>
          </c:val>
        </c:ser>
        <c:ser>
          <c:idx val="2"/>
          <c:order val="1"/>
          <c:tx>
            <c:strRef>
              <c:f>Results!$B$43</c:f>
              <c:strCache>
                <c:ptCount val="1"/>
                <c:pt idx="0">
                  <c:v>Diesel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Results!$C$43:$G$43</c:f>
              <c:numCache>
                <c:formatCode>0</c:formatCode>
                <c:ptCount val="5"/>
                <c:pt idx="0">
                  <c:v>105.25343957362492</c:v>
                </c:pt>
                <c:pt idx="1">
                  <c:v>107.50611255614</c:v>
                </c:pt>
                <c:pt idx="2">
                  <c:v>107.17701111063053</c:v>
                </c:pt>
                <c:pt idx="3">
                  <c:v>108.32656068064904</c:v>
                </c:pt>
                <c:pt idx="4">
                  <c:v>109.47611025066753</c:v>
                </c:pt>
              </c:numCache>
            </c:numRef>
          </c:val>
        </c:ser>
        <c:ser>
          <c:idx val="3"/>
          <c:order val="2"/>
          <c:tx>
            <c:strRef>
              <c:f>Results!$B$44</c:f>
              <c:strCache>
                <c:ptCount val="1"/>
                <c:pt idx="0">
                  <c:v>Jet-fuel fossil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Results!$C$44:$G$44</c:f>
              <c:numCache>
                <c:formatCode>0</c:formatCode>
                <c:ptCount val="5"/>
                <c:pt idx="0">
                  <c:v>7.4413556000000005</c:v>
                </c:pt>
                <c:pt idx="1">
                  <c:v>8.2694762837239857</c:v>
                </c:pt>
                <c:pt idx="2">
                  <c:v>8.2768967282756609</c:v>
                </c:pt>
                <c:pt idx="3">
                  <c:v>7.5425466472897806</c:v>
                </c:pt>
                <c:pt idx="4">
                  <c:v>6.8081965663039004</c:v>
                </c:pt>
              </c:numCache>
            </c:numRef>
          </c:val>
        </c:ser>
        <c:ser>
          <c:idx val="4"/>
          <c:order val="3"/>
          <c:tx>
            <c:strRef>
              <c:f>Results!$B$45</c:f>
              <c:strCache>
                <c:ptCount val="1"/>
                <c:pt idx="0">
                  <c:v>Biogas</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Results!$C$45:$G$45</c:f>
              <c:numCache>
                <c:formatCode>0</c:formatCode>
                <c:ptCount val="5"/>
                <c:pt idx="0">
                  <c:v>0</c:v>
                </c:pt>
                <c:pt idx="1">
                  <c:v>0</c:v>
                </c:pt>
                <c:pt idx="2">
                  <c:v>0</c:v>
                </c:pt>
                <c:pt idx="3">
                  <c:v>0</c:v>
                </c:pt>
                <c:pt idx="4">
                  <c:v>0</c:v>
                </c:pt>
              </c:numCache>
            </c:numRef>
          </c:val>
        </c:ser>
        <c:ser>
          <c:idx val="5"/>
          <c:order val="4"/>
          <c:tx>
            <c:strRef>
              <c:f>Results!$B$46</c:f>
              <c:strCache>
                <c:ptCount val="1"/>
                <c:pt idx="0">
                  <c:v>Bioethanol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Results!$C$46:$G$46</c:f>
              <c:numCache>
                <c:formatCode>0</c:formatCode>
                <c:ptCount val="5"/>
                <c:pt idx="0">
                  <c:v>0</c:v>
                </c:pt>
                <c:pt idx="1">
                  <c:v>1.2527504674913845</c:v>
                </c:pt>
                <c:pt idx="2">
                  <c:v>1.3456738643185715</c:v>
                </c:pt>
                <c:pt idx="3">
                  <c:v>1.4457305164021705</c:v>
                </c:pt>
                <c:pt idx="4">
                  <c:v>1.5457871684857694</c:v>
                </c:pt>
              </c:numCache>
            </c:numRef>
          </c:val>
        </c:ser>
        <c:ser>
          <c:idx val="11"/>
          <c:order val="5"/>
          <c:tx>
            <c:strRef>
              <c:f>Results!$B$47</c:f>
              <c:strCache>
                <c:ptCount val="1"/>
                <c:pt idx="0">
                  <c:v>Biodiesel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Results!$C$47:$G$47</c:f>
              <c:numCache>
                <c:formatCode>0</c:formatCode>
                <c:ptCount val="5"/>
                <c:pt idx="0">
                  <c:v>0.40444450997406622</c:v>
                </c:pt>
                <c:pt idx="1">
                  <c:v>3.6511121371517392</c:v>
                </c:pt>
                <c:pt idx="2">
                  <c:v>3.7817891966313693</c:v>
                </c:pt>
                <c:pt idx="3">
                  <c:v>3.9365855334207804</c:v>
                </c:pt>
                <c:pt idx="4">
                  <c:v>4.0913818702101912</c:v>
                </c:pt>
              </c:numCache>
            </c:numRef>
          </c:val>
        </c:ser>
        <c:ser>
          <c:idx val="6"/>
          <c:order val="6"/>
          <c:tx>
            <c:strRef>
              <c:f>Results!$B$48</c:f>
              <c:strCache>
                <c:ptCount val="1"/>
                <c:pt idx="0">
                  <c:v>Bio-methanol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Results!$C$48:$G$48</c:f>
              <c:numCache>
                <c:formatCode>0</c:formatCode>
                <c:ptCount val="5"/>
                <c:pt idx="0">
                  <c:v>0</c:v>
                </c:pt>
                <c:pt idx="1">
                  <c:v>0</c:v>
                </c:pt>
                <c:pt idx="2">
                  <c:v>0</c:v>
                </c:pt>
                <c:pt idx="3">
                  <c:v>0</c:v>
                </c:pt>
                <c:pt idx="4">
                  <c:v>0</c:v>
                </c:pt>
              </c:numCache>
            </c:numRef>
          </c:val>
        </c:ser>
        <c:ser>
          <c:idx val="7"/>
          <c:order val="7"/>
          <c:tx>
            <c:strRef>
              <c:f>Results!$B$49</c:f>
              <c:strCache>
                <c:ptCount val="1"/>
                <c:pt idx="0">
                  <c:v>Bio-jetfuel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Results!$C$49:$G$49</c:f>
              <c:numCache>
                <c:formatCode>0</c:formatCode>
                <c:ptCount val="5"/>
                <c:pt idx="0">
                  <c:v>0</c:v>
                </c:pt>
                <c:pt idx="1">
                  <c:v>0</c:v>
                </c:pt>
                <c:pt idx="2">
                  <c:v>0</c:v>
                </c:pt>
                <c:pt idx="3">
                  <c:v>0</c:v>
                </c:pt>
                <c:pt idx="4">
                  <c:v>0</c:v>
                </c:pt>
              </c:numCache>
            </c:numRef>
          </c:val>
        </c:ser>
        <c:ser>
          <c:idx val="8"/>
          <c:order val="8"/>
          <c:tx>
            <c:strRef>
              <c:f>Results!$B$50</c:f>
              <c:strCache>
                <c:ptCount val="1"/>
                <c:pt idx="0">
                  <c:v>Syn-methanol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Results!$C$50:$G$50</c:f>
              <c:numCache>
                <c:formatCode>0</c:formatCode>
                <c:ptCount val="5"/>
                <c:pt idx="0">
                  <c:v>0</c:v>
                </c:pt>
                <c:pt idx="1">
                  <c:v>0</c:v>
                </c:pt>
                <c:pt idx="2">
                  <c:v>0</c:v>
                </c:pt>
                <c:pt idx="3">
                  <c:v>0</c:v>
                </c:pt>
                <c:pt idx="4">
                  <c:v>0</c:v>
                </c:pt>
              </c:numCache>
            </c:numRef>
          </c:val>
        </c:ser>
        <c:ser>
          <c:idx val="9"/>
          <c:order val="9"/>
          <c:tx>
            <c:strRef>
              <c:f>Results!$B$51</c:f>
              <c:strCache>
                <c:ptCount val="1"/>
                <c:pt idx="0">
                  <c:v>Syn-jetfuel</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Results!$C$51:$G$51</c:f>
              <c:numCache>
                <c:formatCode>0</c:formatCode>
                <c:ptCount val="5"/>
                <c:pt idx="0">
                  <c:v>0</c:v>
                </c:pt>
                <c:pt idx="1">
                  <c:v>0</c:v>
                </c:pt>
                <c:pt idx="2">
                  <c:v>0</c:v>
                </c:pt>
                <c:pt idx="3">
                  <c:v>0</c:v>
                </c:pt>
                <c:pt idx="4">
                  <c:v>0</c:v>
                </c:pt>
              </c:numCache>
            </c:numRef>
          </c:val>
        </c:ser>
        <c:ser>
          <c:idx val="10"/>
          <c:order val="10"/>
          <c:tx>
            <c:strRef>
              <c:f>Results!$B$52</c:f>
              <c:strCache>
                <c:ptCount val="1"/>
                <c:pt idx="0">
                  <c:v>Electricity Train / bus</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Results!$C$52:$G$52</c:f>
              <c:numCache>
                <c:formatCode>0</c:formatCode>
                <c:ptCount val="5"/>
                <c:pt idx="0">
                  <c:v>0.1515813</c:v>
                </c:pt>
                <c:pt idx="1">
                  <c:v>0.1852324394863997</c:v>
                </c:pt>
                <c:pt idx="2">
                  <c:v>0.22191216345702161</c:v>
                </c:pt>
                <c:pt idx="3">
                  <c:v>0.2433325531784965</c:v>
                </c:pt>
                <c:pt idx="4">
                  <c:v>0.26475294289997142</c:v>
                </c:pt>
              </c:numCache>
            </c:numRef>
          </c:val>
        </c:ser>
        <c:ser>
          <c:idx val="12"/>
          <c:order val="11"/>
          <c:tx>
            <c:strRef>
              <c:f>Results!$B$53</c:f>
              <c:strCache>
                <c:ptCount val="1"/>
                <c:pt idx="0">
                  <c:v>Electricity BEV + Plug-in-hybrid</c:v>
                </c:pt>
              </c:strCache>
            </c:strRef>
          </c:tx>
          <c:invertIfNegative val="0"/>
          <c:cat>
            <c:numRef>
              <c:f>Results!$C$40:$G$40</c:f>
              <c:numCache>
                <c:formatCode>0</c:formatCode>
                <c:ptCount val="5"/>
                <c:pt idx="0">
                  <c:v>2010</c:v>
                </c:pt>
                <c:pt idx="1">
                  <c:v>2020</c:v>
                </c:pt>
                <c:pt idx="2">
                  <c:v>2030</c:v>
                </c:pt>
                <c:pt idx="3">
                  <c:v>2040</c:v>
                </c:pt>
                <c:pt idx="4">
                  <c:v>2050</c:v>
                </c:pt>
              </c:numCache>
            </c:numRef>
          </c:cat>
          <c:val>
            <c:numRef>
              <c:f>Results!$C$53:$G$53</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17372952"/>
        <c:axId val="117377656"/>
      </c:barChart>
      <c:catAx>
        <c:axId val="117372952"/>
        <c:scaling>
          <c:orientation val="minMax"/>
        </c:scaling>
        <c:delete val="0"/>
        <c:axPos val="b"/>
        <c:numFmt formatCode="0" sourceLinked="1"/>
        <c:majorTickMark val="out"/>
        <c:minorTickMark val="none"/>
        <c:tickLblPos val="nextTo"/>
        <c:crossAx val="117377656"/>
        <c:crosses val="autoZero"/>
        <c:auto val="1"/>
        <c:lblAlgn val="ctr"/>
        <c:lblOffset val="100"/>
        <c:noMultiLvlLbl val="0"/>
      </c:catAx>
      <c:valAx>
        <c:axId val="117377656"/>
        <c:scaling>
          <c:orientation val="minMax"/>
        </c:scaling>
        <c:delete val="0"/>
        <c:axPos val="l"/>
        <c:majorGridlines/>
        <c:numFmt formatCode="#,##0" sourceLinked="0"/>
        <c:majorTickMark val="out"/>
        <c:minorTickMark val="none"/>
        <c:tickLblPos val="nextTo"/>
        <c:crossAx val="117372952"/>
        <c:crosses val="autoZero"/>
        <c:crossBetween val="between"/>
      </c:valAx>
    </c:plotArea>
    <c:legend>
      <c:legendPos val="r"/>
      <c:overlay val="0"/>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transport system costs, Low modal shift</a:t>
            </a:r>
            <a:r>
              <a:rPr lang="en-US" baseline="0"/>
              <a:t> / high road transport</a:t>
            </a:r>
            <a:endParaRPr lang="en-US"/>
          </a:p>
        </c:rich>
      </c:tx>
      <c:overlay val="0"/>
    </c:title>
    <c:autoTitleDeleted val="0"/>
    <c:plotArea>
      <c:layout/>
      <c:barChart>
        <c:barDir val="col"/>
        <c:grouping val="stacked"/>
        <c:varyColors val="0"/>
        <c:ser>
          <c:idx val="1"/>
          <c:order val="0"/>
          <c:tx>
            <c:strRef>
              <c:f>Results!$AA$7</c:f>
              <c:strCache>
                <c:ptCount val="1"/>
                <c:pt idx="0">
                  <c:v>Fuel/energy technology</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Results!$AB$7:$AF$7</c:f>
              <c:numCache>
                <c:formatCode>General</c:formatCode>
                <c:ptCount val="5"/>
                <c:pt idx="0">
                  <c:v>39911</c:v>
                </c:pt>
                <c:pt idx="1">
                  <c:v>43220</c:v>
                </c:pt>
                <c:pt idx="2">
                  <c:v>45293</c:v>
                </c:pt>
                <c:pt idx="3" formatCode="0">
                  <c:v>46108.5</c:v>
                </c:pt>
                <c:pt idx="4">
                  <c:v>46924</c:v>
                </c:pt>
              </c:numCache>
            </c:numRef>
          </c:val>
        </c:ser>
        <c:ser>
          <c:idx val="2"/>
          <c:order val="1"/>
          <c:tx>
            <c:strRef>
              <c:f>Results!$AA$8</c:f>
              <c:strCache>
                <c:ptCount val="1"/>
                <c:pt idx="0">
                  <c:v>Vehicle</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Results!$AB$8:$AF$8</c:f>
              <c:numCache>
                <c:formatCode>0</c:formatCode>
                <c:ptCount val="5"/>
                <c:pt idx="0">
                  <c:v>32064.888156097979</c:v>
                </c:pt>
                <c:pt idx="1">
                  <c:v>35631.326849959005</c:v>
                </c:pt>
                <c:pt idx="2">
                  <c:v>39227.700696345884</c:v>
                </c:pt>
                <c:pt idx="3">
                  <c:v>39742.267612833944</c:v>
                </c:pt>
                <c:pt idx="4">
                  <c:v>40256.834529322005</c:v>
                </c:pt>
              </c:numCache>
            </c:numRef>
          </c:val>
        </c:ser>
        <c:ser>
          <c:idx val="3"/>
          <c:order val="2"/>
          <c:tx>
            <c:strRef>
              <c:f>Results!$AA$9</c:f>
              <c:strCache>
                <c:ptCount val="1"/>
                <c:pt idx="0">
                  <c:v>Vehicle O&amp;M</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Results!$AB$9:$AF$9</c:f>
              <c:numCache>
                <c:formatCode>0</c:formatCode>
                <c:ptCount val="5"/>
                <c:pt idx="0">
                  <c:v>19450.760452184386</c:v>
                </c:pt>
                <c:pt idx="1">
                  <c:v>21598.592633655244</c:v>
                </c:pt>
                <c:pt idx="2">
                  <c:v>24147.197985700957</c:v>
                </c:pt>
                <c:pt idx="3">
                  <c:v>24347.10326546523</c:v>
                </c:pt>
                <c:pt idx="4">
                  <c:v>24547.008545229499</c:v>
                </c:pt>
              </c:numCache>
            </c:numRef>
          </c:val>
        </c:ser>
        <c:ser>
          <c:idx val="4"/>
          <c:order val="3"/>
          <c:tx>
            <c:strRef>
              <c:f>Results!$AA$10</c:f>
              <c:strCache>
                <c:ptCount val="1"/>
                <c:pt idx="0">
                  <c:v>EV Charging stations</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Results!$AB$10:$AF$10</c:f>
              <c:numCache>
                <c:formatCode>0</c:formatCode>
                <c:ptCount val="5"/>
                <c:pt idx="0">
                  <c:v>0</c:v>
                </c:pt>
                <c:pt idx="1">
                  <c:v>0</c:v>
                </c:pt>
                <c:pt idx="2">
                  <c:v>0</c:v>
                </c:pt>
                <c:pt idx="3">
                  <c:v>0</c:v>
                </c:pt>
                <c:pt idx="4">
                  <c:v>0</c:v>
                </c:pt>
              </c:numCache>
            </c:numRef>
          </c:val>
        </c:ser>
        <c:ser>
          <c:idx val="5"/>
          <c:order val="4"/>
          <c:tx>
            <c:strRef>
              <c:f>Results!$AA$11</c:f>
              <c:strCache>
                <c:ptCount val="1"/>
                <c:pt idx="0">
                  <c:v>Renewal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Results!$AB$11:$AF$11</c:f>
              <c:numCache>
                <c:formatCode>0</c:formatCode>
                <c:ptCount val="5"/>
                <c:pt idx="0">
                  <c:v>8231.2568206799442</c:v>
                </c:pt>
                <c:pt idx="1">
                  <c:v>10407.631957645242</c:v>
                </c:pt>
                <c:pt idx="2">
                  <c:v>12904.73590275917</c:v>
                </c:pt>
                <c:pt idx="3">
                  <c:v>14443.464394419942</c:v>
                </c:pt>
                <c:pt idx="4">
                  <c:v>15982.192886080709</c:v>
                </c:pt>
              </c:numCache>
            </c:numRef>
          </c:val>
        </c:ser>
        <c:ser>
          <c:idx val="6"/>
          <c:order val="5"/>
          <c:tx>
            <c:strRef>
              <c:f>Results!$AA$12</c:f>
              <c:strCache>
                <c:ptCount val="1"/>
                <c:pt idx="0">
                  <c:v>New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Results!$AB$12:$AF$12</c:f>
              <c:numCache>
                <c:formatCode>0</c:formatCode>
                <c:ptCount val="5"/>
                <c:pt idx="0">
                  <c:v>11229.796124168073</c:v>
                </c:pt>
                <c:pt idx="1">
                  <c:v>19143.964755367793</c:v>
                </c:pt>
                <c:pt idx="2">
                  <c:v>19073.360432640242</c:v>
                </c:pt>
                <c:pt idx="3">
                  <c:v>16945.959394984908</c:v>
                </c:pt>
                <c:pt idx="4">
                  <c:v>16004.044120574577</c:v>
                </c:pt>
              </c:numCache>
            </c:numRef>
          </c:val>
        </c:ser>
        <c:ser>
          <c:idx val="0"/>
          <c:order val="6"/>
          <c:tx>
            <c:strRef>
              <c:f>Results!$AA$13</c:f>
              <c:strCache>
                <c:ptCount val="1"/>
                <c:pt idx="0">
                  <c:v>Renewal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Results!$AB$13:$AF$13</c:f>
              <c:numCache>
                <c:formatCode>0</c:formatCode>
                <c:ptCount val="5"/>
                <c:pt idx="0">
                  <c:v>2954.2873396446239</c:v>
                </c:pt>
                <c:pt idx="1">
                  <c:v>3028.3769916521883</c:v>
                </c:pt>
                <c:pt idx="2">
                  <c:v>3442.6199715409243</c:v>
                </c:pt>
                <c:pt idx="3">
                  <c:v>3485.8654030614603</c:v>
                </c:pt>
                <c:pt idx="4">
                  <c:v>3529.1108345819962</c:v>
                </c:pt>
              </c:numCache>
            </c:numRef>
          </c:val>
        </c:ser>
        <c:ser>
          <c:idx val="7"/>
          <c:order val="7"/>
          <c:tx>
            <c:strRef>
              <c:f>Results!$AA$14</c:f>
              <c:strCache>
                <c:ptCount val="1"/>
                <c:pt idx="0">
                  <c:v>New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Results!$AB$14:$AF$14</c:f>
              <c:numCache>
                <c:formatCode>0</c:formatCode>
                <c:ptCount val="5"/>
                <c:pt idx="0">
                  <c:v>5669.2658459138111</c:v>
                </c:pt>
                <c:pt idx="1">
                  <c:v>6881.6588368741632</c:v>
                </c:pt>
                <c:pt idx="2">
                  <c:v>8394.8321889721701</c:v>
                </c:pt>
                <c:pt idx="3">
                  <c:v>8701.5980057885281</c:v>
                </c:pt>
                <c:pt idx="4">
                  <c:v>9428.952522788386</c:v>
                </c:pt>
              </c:numCache>
            </c:numRef>
          </c:val>
        </c:ser>
        <c:ser>
          <c:idx val="8"/>
          <c:order val="8"/>
          <c:tx>
            <c:strRef>
              <c:f>Results!$AA$15</c:f>
              <c:strCache>
                <c:ptCount val="1"/>
                <c:pt idx="0">
                  <c:v>Other</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Results!$AB$15:$AF$15</c:f>
              <c:numCache>
                <c:formatCode>0</c:formatCode>
                <c:ptCount val="5"/>
              </c:numCache>
            </c:numRef>
          </c:val>
        </c:ser>
        <c:dLbls>
          <c:showLegendKey val="0"/>
          <c:showVal val="0"/>
          <c:showCatName val="0"/>
          <c:showSerName val="0"/>
          <c:showPercent val="0"/>
          <c:showBubbleSize val="0"/>
        </c:dLbls>
        <c:gapWidth val="150"/>
        <c:overlap val="100"/>
        <c:axId val="117373344"/>
        <c:axId val="117367464"/>
      </c:barChart>
      <c:catAx>
        <c:axId val="117373344"/>
        <c:scaling>
          <c:orientation val="minMax"/>
        </c:scaling>
        <c:delete val="0"/>
        <c:axPos val="b"/>
        <c:numFmt formatCode="General" sourceLinked="1"/>
        <c:majorTickMark val="out"/>
        <c:minorTickMark val="none"/>
        <c:tickLblPos val="nextTo"/>
        <c:crossAx val="117367464"/>
        <c:crosses val="autoZero"/>
        <c:auto val="1"/>
        <c:lblAlgn val="ctr"/>
        <c:lblOffset val="100"/>
        <c:noMultiLvlLbl val="0"/>
      </c:catAx>
      <c:valAx>
        <c:axId val="117367464"/>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117373344"/>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Transport system costs, </a:t>
            </a:r>
            <a:r>
              <a:rPr lang="en-US" sz="1800" b="1" i="0" u="none" strike="noStrike" baseline="0">
                <a:effectLst/>
              </a:rPr>
              <a:t>Low modal shift / high road transport</a:t>
            </a:r>
            <a:endParaRPr lang="en-US"/>
          </a:p>
        </c:rich>
      </c:tx>
      <c:overlay val="0"/>
    </c:title>
    <c:autoTitleDeleted val="0"/>
    <c:plotArea>
      <c:layout/>
      <c:barChart>
        <c:barDir val="col"/>
        <c:grouping val="stacked"/>
        <c:varyColors val="0"/>
        <c:ser>
          <c:idx val="1"/>
          <c:order val="0"/>
          <c:tx>
            <c:strRef>
              <c:f>Results!$AA$21</c:f>
              <c:strCache>
                <c:ptCount val="1"/>
                <c:pt idx="0">
                  <c:v>Fuel/energy technology</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Results!$AB$21:$AF$21</c:f>
              <c:numCache>
                <c:formatCode>General</c:formatCode>
                <c:ptCount val="5"/>
                <c:pt idx="0">
                  <c:v>39911</c:v>
                </c:pt>
                <c:pt idx="1">
                  <c:v>43220</c:v>
                </c:pt>
                <c:pt idx="2">
                  <c:v>45293</c:v>
                </c:pt>
                <c:pt idx="3" formatCode="0">
                  <c:v>46108.5</c:v>
                </c:pt>
                <c:pt idx="4">
                  <c:v>46924</c:v>
                </c:pt>
              </c:numCache>
            </c:numRef>
          </c:val>
        </c:ser>
        <c:ser>
          <c:idx val="2"/>
          <c:order val="1"/>
          <c:tx>
            <c:strRef>
              <c:f>Results!$AA$22</c:f>
              <c:strCache>
                <c:ptCount val="1"/>
                <c:pt idx="0">
                  <c:v>Vehicle</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Results!$AB$22:$AF$22</c:f>
              <c:numCache>
                <c:formatCode>0</c:formatCode>
                <c:ptCount val="5"/>
                <c:pt idx="0">
                  <c:v>32064.888156097979</c:v>
                </c:pt>
                <c:pt idx="1">
                  <c:v>35631.326849959005</c:v>
                </c:pt>
                <c:pt idx="2">
                  <c:v>39227.700696345884</c:v>
                </c:pt>
                <c:pt idx="3">
                  <c:v>39742.267612833944</c:v>
                </c:pt>
                <c:pt idx="4">
                  <c:v>40256.834529322005</c:v>
                </c:pt>
              </c:numCache>
            </c:numRef>
          </c:val>
        </c:ser>
        <c:ser>
          <c:idx val="3"/>
          <c:order val="2"/>
          <c:tx>
            <c:strRef>
              <c:f>Results!$AA$23</c:f>
              <c:strCache>
                <c:ptCount val="1"/>
                <c:pt idx="0">
                  <c:v>Vehicle O&amp;M</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Results!$AB$23:$AF$23</c:f>
              <c:numCache>
                <c:formatCode>0</c:formatCode>
                <c:ptCount val="5"/>
                <c:pt idx="0">
                  <c:v>19450.760452184386</c:v>
                </c:pt>
                <c:pt idx="1">
                  <c:v>21598.592633655244</c:v>
                </c:pt>
                <c:pt idx="2">
                  <c:v>24147.197985700957</c:v>
                </c:pt>
                <c:pt idx="3">
                  <c:v>24347.10326546523</c:v>
                </c:pt>
                <c:pt idx="4">
                  <c:v>24547.008545229499</c:v>
                </c:pt>
              </c:numCache>
            </c:numRef>
          </c:val>
        </c:ser>
        <c:ser>
          <c:idx val="4"/>
          <c:order val="3"/>
          <c:tx>
            <c:strRef>
              <c:f>Results!$AA$24</c:f>
              <c:strCache>
                <c:ptCount val="1"/>
                <c:pt idx="0">
                  <c:v>EV Charging stations</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Results!$AB$24:$AF$24</c:f>
              <c:numCache>
                <c:formatCode>0</c:formatCode>
                <c:ptCount val="5"/>
                <c:pt idx="0">
                  <c:v>0</c:v>
                </c:pt>
                <c:pt idx="1">
                  <c:v>0</c:v>
                </c:pt>
                <c:pt idx="2">
                  <c:v>0</c:v>
                </c:pt>
                <c:pt idx="3">
                  <c:v>0</c:v>
                </c:pt>
                <c:pt idx="4">
                  <c:v>0</c:v>
                </c:pt>
              </c:numCache>
            </c:numRef>
          </c:val>
        </c:ser>
        <c:ser>
          <c:idx val="5"/>
          <c:order val="4"/>
          <c:tx>
            <c:strRef>
              <c:f>Results!$AA$25</c:f>
              <c:strCache>
                <c:ptCount val="1"/>
                <c:pt idx="0">
                  <c:v>Renewal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Results!$AB$25:$AF$25</c:f>
              <c:numCache>
                <c:formatCode>0</c:formatCode>
                <c:ptCount val="5"/>
                <c:pt idx="0">
                  <c:v>0</c:v>
                </c:pt>
                <c:pt idx="1">
                  <c:v>2176.3751369652982</c:v>
                </c:pt>
                <c:pt idx="2">
                  <c:v>4673.4790820792259</c:v>
                </c:pt>
                <c:pt idx="3">
                  <c:v>6212.2075737399973</c:v>
                </c:pt>
                <c:pt idx="4">
                  <c:v>7750.9360654007651</c:v>
                </c:pt>
              </c:numCache>
            </c:numRef>
          </c:val>
        </c:ser>
        <c:ser>
          <c:idx val="6"/>
          <c:order val="5"/>
          <c:tx>
            <c:strRef>
              <c:f>Results!$AA$26</c:f>
              <c:strCache>
                <c:ptCount val="1"/>
                <c:pt idx="0">
                  <c:v>New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Results!$AB$26:$AF$26</c:f>
              <c:numCache>
                <c:formatCode>0</c:formatCode>
                <c:ptCount val="5"/>
                <c:pt idx="0">
                  <c:v>0</c:v>
                </c:pt>
                <c:pt idx="1">
                  <c:v>7914.16863119972</c:v>
                </c:pt>
                <c:pt idx="2">
                  <c:v>7843.5643084721687</c:v>
                </c:pt>
                <c:pt idx="3">
                  <c:v>5716.1632708168345</c:v>
                </c:pt>
                <c:pt idx="4">
                  <c:v>4774.2479964065042</c:v>
                </c:pt>
              </c:numCache>
            </c:numRef>
          </c:val>
        </c:ser>
        <c:ser>
          <c:idx val="0"/>
          <c:order val="6"/>
          <c:tx>
            <c:strRef>
              <c:f>Results!$AA$27</c:f>
              <c:strCache>
                <c:ptCount val="1"/>
                <c:pt idx="0">
                  <c:v>Renewal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Results!$AB$27:$AF$27</c:f>
              <c:numCache>
                <c:formatCode>0</c:formatCode>
                <c:ptCount val="5"/>
                <c:pt idx="0">
                  <c:v>0</c:v>
                </c:pt>
                <c:pt idx="1">
                  <c:v>74.089652007564382</c:v>
                </c:pt>
                <c:pt idx="2">
                  <c:v>488.33263189630043</c:v>
                </c:pt>
                <c:pt idx="3">
                  <c:v>531.57806341683636</c:v>
                </c:pt>
                <c:pt idx="4">
                  <c:v>574.82349493737229</c:v>
                </c:pt>
              </c:numCache>
            </c:numRef>
          </c:val>
        </c:ser>
        <c:ser>
          <c:idx val="7"/>
          <c:order val="7"/>
          <c:tx>
            <c:strRef>
              <c:f>Results!$AA$28</c:f>
              <c:strCache>
                <c:ptCount val="1"/>
                <c:pt idx="0">
                  <c:v>New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Results!$AB$28:$AF$28</c:f>
              <c:numCache>
                <c:formatCode>0</c:formatCode>
                <c:ptCount val="5"/>
                <c:pt idx="0">
                  <c:v>0</c:v>
                </c:pt>
                <c:pt idx="1">
                  <c:v>1212.3929909603521</c:v>
                </c:pt>
                <c:pt idx="2">
                  <c:v>2725.5663430583591</c:v>
                </c:pt>
                <c:pt idx="3">
                  <c:v>3032.332159874717</c:v>
                </c:pt>
                <c:pt idx="4">
                  <c:v>3759.6866768745749</c:v>
                </c:pt>
              </c:numCache>
            </c:numRef>
          </c:val>
        </c:ser>
        <c:ser>
          <c:idx val="8"/>
          <c:order val="8"/>
          <c:tx>
            <c:strRef>
              <c:f>Results!$AA$29</c:f>
              <c:strCache>
                <c:ptCount val="1"/>
                <c:pt idx="0">
                  <c:v>Other</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Results!$AB$29:$AF$29</c:f>
              <c:numCache>
                <c:formatCode>0</c:formatCode>
                <c:ptCount val="5"/>
              </c:numCache>
            </c:numRef>
          </c:val>
        </c:ser>
        <c:dLbls>
          <c:showLegendKey val="0"/>
          <c:showVal val="0"/>
          <c:showCatName val="0"/>
          <c:showSerName val="0"/>
          <c:showPercent val="0"/>
          <c:showBubbleSize val="0"/>
        </c:dLbls>
        <c:gapWidth val="150"/>
        <c:overlap val="100"/>
        <c:axId val="117367856"/>
        <c:axId val="117376088"/>
      </c:barChart>
      <c:catAx>
        <c:axId val="117367856"/>
        <c:scaling>
          <c:orientation val="minMax"/>
        </c:scaling>
        <c:delete val="0"/>
        <c:axPos val="b"/>
        <c:numFmt formatCode="General" sourceLinked="1"/>
        <c:majorTickMark val="out"/>
        <c:minorTickMark val="none"/>
        <c:tickLblPos val="nextTo"/>
        <c:crossAx val="117376088"/>
        <c:crosses val="autoZero"/>
        <c:auto val="1"/>
        <c:lblAlgn val="ctr"/>
        <c:lblOffset val="100"/>
        <c:noMultiLvlLbl val="0"/>
      </c:catAx>
      <c:valAx>
        <c:axId val="117376088"/>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11736785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transport system costs, </a:t>
            </a:r>
            <a:br>
              <a:rPr lang="en-US"/>
            </a:br>
            <a:r>
              <a:rPr lang="en-US"/>
              <a:t>High modal shift / medium transport demand growth </a:t>
            </a:r>
          </a:p>
        </c:rich>
      </c:tx>
      <c:overlay val="0"/>
    </c:title>
    <c:autoTitleDeleted val="0"/>
    <c:plotArea>
      <c:layout/>
      <c:barChart>
        <c:barDir val="col"/>
        <c:grouping val="stacked"/>
        <c:varyColors val="0"/>
        <c:ser>
          <c:idx val="1"/>
          <c:order val="0"/>
          <c:tx>
            <c:strRef>
              <c:f>Results!$AA$35</c:f>
              <c:strCache>
                <c:ptCount val="1"/>
                <c:pt idx="0">
                  <c:v>Fuel / Energy</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Results!$AB$35:$AF$35</c:f>
              <c:numCache>
                <c:formatCode>General</c:formatCode>
                <c:ptCount val="5"/>
              </c:numCache>
            </c:numRef>
          </c:val>
        </c:ser>
        <c:ser>
          <c:idx val="2"/>
          <c:order val="1"/>
          <c:tx>
            <c:strRef>
              <c:f>Results!$AA$36</c:f>
              <c:strCache>
                <c:ptCount val="1"/>
                <c:pt idx="0">
                  <c:v>Vehicle</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Results!$AB$36:$AF$36</c:f>
              <c:numCache>
                <c:formatCode>0</c:formatCode>
                <c:ptCount val="5"/>
                <c:pt idx="0">
                  <c:v>32064.888156097979</c:v>
                </c:pt>
                <c:pt idx="1">
                  <c:v>35631.326849959005</c:v>
                </c:pt>
                <c:pt idx="2">
                  <c:v>39227.700696345884</c:v>
                </c:pt>
                <c:pt idx="3">
                  <c:v>39742.267612833944</c:v>
                </c:pt>
                <c:pt idx="4">
                  <c:v>40256.834529322005</c:v>
                </c:pt>
              </c:numCache>
            </c:numRef>
          </c:val>
        </c:ser>
        <c:ser>
          <c:idx val="3"/>
          <c:order val="2"/>
          <c:tx>
            <c:strRef>
              <c:f>Results!$AA$37</c:f>
              <c:strCache>
                <c:ptCount val="1"/>
                <c:pt idx="0">
                  <c:v>Vehicle O&amp;M</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Results!$AB$37:$AF$37</c:f>
              <c:numCache>
                <c:formatCode>0</c:formatCode>
                <c:ptCount val="5"/>
                <c:pt idx="0">
                  <c:v>19450.760452184386</c:v>
                </c:pt>
                <c:pt idx="1">
                  <c:v>21598.592633655244</c:v>
                </c:pt>
                <c:pt idx="2">
                  <c:v>24147.197985700957</c:v>
                </c:pt>
                <c:pt idx="3">
                  <c:v>24347.10326546523</c:v>
                </c:pt>
                <c:pt idx="4">
                  <c:v>24547.008545229499</c:v>
                </c:pt>
              </c:numCache>
            </c:numRef>
          </c:val>
        </c:ser>
        <c:ser>
          <c:idx val="4"/>
          <c:order val="3"/>
          <c:tx>
            <c:strRef>
              <c:f>Results!$AA$38</c:f>
              <c:strCache>
                <c:ptCount val="1"/>
                <c:pt idx="0">
                  <c:v>EV Charging stations</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Results!$AB$38:$AF$38</c:f>
              <c:numCache>
                <c:formatCode>0</c:formatCode>
                <c:ptCount val="5"/>
                <c:pt idx="0">
                  <c:v>0</c:v>
                </c:pt>
                <c:pt idx="1">
                  <c:v>0</c:v>
                </c:pt>
                <c:pt idx="2">
                  <c:v>0</c:v>
                </c:pt>
                <c:pt idx="3">
                  <c:v>0</c:v>
                </c:pt>
                <c:pt idx="4">
                  <c:v>0</c:v>
                </c:pt>
              </c:numCache>
            </c:numRef>
          </c:val>
        </c:ser>
        <c:ser>
          <c:idx val="5"/>
          <c:order val="4"/>
          <c:tx>
            <c:strRef>
              <c:f>Results!$AA$39</c:f>
              <c:strCache>
                <c:ptCount val="1"/>
                <c:pt idx="0">
                  <c:v>Renewal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Results!$AB$39:$AF$39</c:f>
              <c:numCache>
                <c:formatCode>0</c:formatCode>
                <c:ptCount val="5"/>
                <c:pt idx="0">
                  <c:v>8231.2568206799442</c:v>
                </c:pt>
                <c:pt idx="1">
                  <c:v>10407.631957645241</c:v>
                </c:pt>
                <c:pt idx="2">
                  <c:v>12904.735902759172</c:v>
                </c:pt>
                <c:pt idx="3">
                  <c:v>14443.46439441994</c:v>
                </c:pt>
                <c:pt idx="4">
                  <c:v>15982.192886080711</c:v>
                </c:pt>
              </c:numCache>
            </c:numRef>
          </c:val>
        </c:ser>
        <c:ser>
          <c:idx val="6"/>
          <c:order val="5"/>
          <c:tx>
            <c:strRef>
              <c:f>Results!$AA$40</c:f>
              <c:strCache>
                <c:ptCount val="1"/>
                <c:pt idx="0">
                  <c:v>New infrastructure road</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Results!$AB$40:$AF$40</c:f>
              <c:numCache>
                <c:formatCode>0</c:formatCode>
                <c:ptCount val="5"/>
                <c:pt idx="0">
                  <c:v>11229.796124168073</c:v>
                </c:pt>
                <c:pt idx="1">
                  <c:v>19143.964755367793</c:v>
                </c:pt>
                <c:pt idx="2">
                  <c:v>18413.891379478919</c:v>
                </c:pt>
                <c:pt idx="3">
                  <c:v>15627.021288662263</c:v>
                </c:pt>
                <c:pt idx="4">
                  <c:v>14025.636961090611</c:v>
                </c:pt>
              </c:numCache>
            </c:numRef>
          </c:val>
        </c:ser>
        <c:ser>
          <c:idx val="0"/>
          <c:order val="6"/>
          <c:tx>
            <c:strRef>
              <c:f>Results!$AA$41</c:f>
              <c:strCache>
                <c:ptCount val="1"/>
                <c:pt idx="0">
                  <c:v>Renewal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Results!$AB$41:$AF$41</c:f>
              <c:numCache>
                <c:formatCode>0</c:formatCode>
                <c:ptCount val="5"/>
                <c:pt idx="0">
                  <c:v>2954.2873396446239</c:v>
                </c:pt>
                <c:pt idx="1">
                  <c:v>3028.3769916521883</c:v>
                </c:pt>
                <c:pt idx="2">
                  <c:v>3442.6199715409243</c:v>
                </c:pt>
                <c:pt idx="3">
                  <c:v>3485.8654030614603</c:v>
                </c:pt>
                <c:pt idx="4">
                  <c:v>3529.1108345819962</c:v>
                </c:pt>
              </c:numCache>
            </c:numRef>
          </c:val>
        </c:ser>
        <c:ser>
          <c:idx val="7"/>
          <c:order val="7"/>
          <c:tx>
            <c:strRef>
              <c:f>Results!$AA$42</c:f>
              <c:strCache>
                <c:ptCount val="1"/>
                <c:pt idx="0">
                  <c:v>New infrastructure rail</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Results!$AB$42:$AF$42</c:f>
              <c:numCache>
                <c:formatCode>0</c:formatCode>
                <c:ptCount val="5"/>
                <c:pt idx="0">
                  <c:v>5669.2658459138111</c:v>
                </c:pt>
                <c:pt idx="1">
                  <c:v>10385.438123807755</c:v>
                </c:pt>
                <c:pt idx="2">
                  <c:v>13045.940731761766</c:v>
                </c:pt>
                <c:pt idx="3">
                  <c:v>13748.98665260895</c:v>
                </c:pt>
                <c:pt idx="4">
                  <c:v>14452.032573456132</c:v>
                </c:pt>
              </c:numCache>
            </c:numRef>
          </c:val>
        </c:ser>
        <c:ser>
          <c:idx val="8"/>
          <c:order val="8"/>
          <c:tx>
            <c:strRef>
              <c:f>Results!$AA$43</c:f>
              <c:strCache>
                <c:ptCount val="1"/>
                <c:pt idx="0">
                  <c:v>Other</c:v>
                </c:pt>
              </c:strCache>
            </c:strRef>
          </c:tx>
          <c:invertIfNegative val="0"/>
          <c:cat>
            <c:numRef>
              <c:f>Results!$AB$5:$AF$5</c:f>
              <c:numCache>
                <c:formatCode>General</c:formatCode>
                <c:ptCount val="5"/>
                <c:pt idx="0">
                  <c:v>2010</c:v>
                </c:pt>
                <c:pt idx="1">
                  <c:v>2020</c:v>
                </c:pt>
                <c:pt idx="2">
                  <c:v>2030</c:v>
                </c:pt>
                <c:pt idx="3">
                  <c:v>2040</c:v>
                </c:pt>
                <c:pt idx="4">
                  <c:v>2050</c:v>
                </c:pt>
              </c:numCache>
            </c:numRef>
          </c:cat>
          <c:val>
            <c:numRef>
              <c:f>Results!$AB$43:$AF$43</c:f>
              <c:numCache>
                <c:formatCode>0</c:formatCode>
                <c:ptCount val="5"/>
                <c:pt idx="0">
                  <c:v>0</c:v>
                </c:pt>
                <c:pt idx="1">
                  <c:v>1158.2143610589721</c:v>
                </c:pt>
                <c:pt idx="2">
                  <c:v>1158.2143610589721</c:v>
                </c:pt>
                <c:pt idx="3">
                  <c:v>1158.2143610589721</c:v>
                </c:pt>
                <c:pt idx="4">
                  <c:v>1158.2143610589721</c:v>
                </c:pt>
              </c:numCache>
            </c:numRef>
          </c:val>
        </c:ser>
        <c:dLbls>
          <c:showLegendKey val="0"/>
          <c:showVal val="0"/>
          <c:showCatName val="0"/>
          <c:showSerName val="0"/>
          <c:showPercent val="0"/>
          <c:showBubbleSize val="0"/>
        </c:dLbls>
        <c:gapWidth val="150"/>
        <c:overlap val="100"/>
        <c:axId val="117367072"/>
        <c:axId val="117368640"/>
      </c:barChart>
      <c:catAx>
        <c:axId val="117367072"/>
        <c:scaling>
          <c:orientation val="minMax"/>
        </c:scaling>
        <c:delete val="0"/>
        <c:axPos val="b"/>
        <c:numFmt formatCode="General" sourceLinked="1"/>
        <c:majorTickMark val="out"/>
        <c:minorTickMark val="none"/>
        <c:tickLblPos val="nextTo"/>
        <c:crossAx val="117368640"/>
        <c:crosses val="autoZero"/>
        <c:auto val="1"/>
        <c:lblAlgn val="ctr"/>
        <c:lblOffset val="100"/>
        <c:noMultiLvlLbl val="0"/>
      </c:catAx>
      <c:valAx>
        <c:axId val="117368640"/>
        <c:scaling>
          <c:orientation val="minMax"/>
        </c:scaling>
        <c:delete val="0"/>
        <c:axPos val="l"/>
        <c:majorGridlines/>
        <c:title>
          <c:tx>
            <c:rich>
              <a:bodyPr rot="-5400000" vert="horz"/>
              <a:lstStyle/>
              <a:p>
                <a:pPr>
                  <a:defRPr/>
                </a:pPr>
                <a:r>
                  <a:rPr lang="en-US"/>
                  <a:t>MDKK/Year</a:t>
                </a:r>
              </a:p>
            </c:rich>
          </c:tx>
          <c:overlay val="0"/>
        </c:title>
        <c:numFmt formatCode="#,##0" sourceLinked="0"/>
        <c:majorTickMark val="out"/>
        <c:minorTickMark val="none"/>
        <c:tickLblPos val="nextTo"/>
        <c:crossAx val="117367072"/>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5" Type="http://schemas.openxmlformats.org/officeDocument/2006/relationships/chart" Target="../charts/chart3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drawing1.xml><?xml version="1.0" encoding="utf-8"?>
<xdr:wsDr xmlns:xdr="http://schemas.openxmlformats.org/drawingml/2006/spreadsheetDrawing" xmlns:a="http://schemas.openxmlformats.org/drawingml/2006/main">
  <xdr:twoCellAnchor>
    <xdr:from>
      <xdr:col>13</xdr:col>
      <xdr:colOff>46264</xdr:colOff>
      <xdr:row>58</xdr:row>
      <xdr:rowOff>16330</xdr:rowOff>
    </xdr:from>
    <xdr:to>
      <xdr:col>25</xdr:col>
      <xdr:colOff>195814</xdr:colOff>
      <xdr:row>75</xdr:row>
      <xdr:rowOff>52619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19050</xdr:colOff>
      <xdr:row>76</xdr:row>
      <xdr:rowOff>17691</xdr:rowOff>
    </xdr:from>
    <xdr:to>
      <xdr:col>25</xdr:col>
      <xdr:colOff>168600</xdr:colOff>
      <xdr:row>94</xdr:row>
      <xdr:rowOff>175083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43544</xdr:colOff>
      <xdr:row>96</xdr:row>
      <xdr:rowOff>13607</xdr:rowOff>
    </xdr:from>
    <xdr:to>
      <xdr:col>25</xdr:col>
      <xdr:colOff>193094</xdr:colOff>
      <xdr:row>114</xdr:row>
      <xdr:rowOff>184607</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13607</xdr:colOff>
      <xdr:row>1</xdr:row>
      <xdr:rowOff>0</xdr:rowOff>
    </xdr:from>
    <xdr:to>
      <xdr:col>25</xdr:col>
      <xdr:colOff>163157</xdr:colOff>
      <xdr:row>18</xdr:row>
      <xdr:rowOff>145146</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495300</xdr:colOff>
      <xdr:row>19</xdr:row>
      <xdr:rowOff>161925</xdr:rowOff>
    </xdr:from>
    <xdr:to>
      <xdr:col>25</xdr:col>
      <xdr:colOff>35250</xdr:colOff>
      <xdr:row>37</xdr:row>
      <xdr:rowOff>164196</xdr:rowOff>
    </xdr:to>
    <xdr:graphicFrame macro="">
      <xdr:nvGraphicFramePr>
        <xdr:cNvPr id="2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247650</xdr:colOff>
      <xdr:row>38</xdr:row>
      <xdr:rowOff>66675</xdr:rowOff>
    </xdr:from>
    <xdr:to>
      <xdr:col>24</xdr:col>
      <xdr:colOff>397200</xdr:colOff>
      <xdr:row>56</xdr:row>
      <xdr:rowOff>173721</xdr:rowOff>
    </xdr:to>
    <xdr:graphicFrame macro="">
      <xdr:nvGraphicFramePr>
        <xdr:cNvPr id="25"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122464</xdr:colOff>
      <xdr:row>3</xdr:row>
      <xdr:rowOff>95251</xdr:rowOff>
    </xdr:from>
    <xdr:to>
      <xdr:col>51</xdr:col>
      <xdr:colOff>356866</xdr:colOff>
      <xdr:row>22</xdr:row>
      <xdr:rowOff>21323</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39</xdr:col>
      <xdr:colOff>117362</xdr:colOff>
      <xdr:row>23</xdr:row>
      <xdr:rowOff>78920</xdr:rowOff>
    </xdr:from>
    <xdr:to>
      <xdr:col>51</xdr:col>
      <xdr:colOff>351764</xdr:colOff>
      <xdr:row>41</xdr:row>
      <xdr:rowOff>73027</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39</xdr:col>
      <xdr:colOff>0</xdr:colOff>
      <xdr:row>42</xdr:row>
      <xdr:rowOff>0</xdr:rowOff>
    </xdr:from>
    <xdr:to>
      <xdr:col>51</xdr:col>
      <xdr:colOff>234402</xdr:colOff>
      <xdr:row>61</xdr:row>
      <xdr:rowOff>89357</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39</xdr:col>
      <xdr:colOff>0</xdr:colOff>
      <xdr:row>63</xdr:row>
      <xdr:rowOff>0</xdr:rowOff>
    </xdr:from>
    <xdr:to>
      <xdr:col>51</xdr:col>
      <xdr:colOff>234402</xdr:colOff>
      <xdr:row>81</xdr:row>
      <xdr:rowOff>62144</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83</xdr:col>
      <xdr:colOff>0</xdr:colOff>
      <xdr:row>92</xdr:row>
      <xdr:rowOff>0</xdr:rowOff>
    </xdr:from>
    <xdr:to>
      <xdr:col>91</xdr:col>
      <xdr:colOff>436750</xdr:colOff>
      <xdr:row>105</xdr:row>
      <xdr:rowOff>27214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104</xdr:col>
      <xdr:colOff>0</xdr:colOff>
      <xdr:row>92</xdr:row>
      <xdr:rowOff>0</xdr:rowOff>
    </xdr:from>
    <xdr:to>
      <xdr:col>114</xdr:col>
      <xdr:colOff>87500</xdr:colOff>
      <xdr:row>103</xdr:row>
      <xdr:rowOff>86000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115</xdr:col>
      <xdr:colOff>0</xdr:colOff>
      <xdr:row>92</xdr:row>
      <xdr:rowOff>0</xdr:rowOff>
    </xdr:from>
    <xdr:to>
      <xdr:col>125</xdr:col>
      <xdr:colOff>87500</xdr:colOff>
      <xdr:row>103</xdr:row>
      <xdr:rowOff>86000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92</xdr:col>
      <xdr:colOff>592669</xdr:colOff>
      <xdr:row>92</xdr:row>
      <xdr:rowOff>95250</xdr:rowOff>
    </xdr:from>
    <xdr:to>
      <xdr:col>102</xdr:col>
      <xdr:colOff>449037</xdr:colOff>
      <xdr:row>106</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84</xdr:col>
      <xdr:colOff>0</xdr:colOff>
      <xdr:row>18</xdr:row>
      <xdr:rowOff>0</xdr:rowOff>
    </xdr:from>
    <xdr:to>
      <xdr:col>94</xdr:col>
      <xdr:colOff>36700</xdr:colOff>
      <xdr:row>31</xdr:row>
      <xdr:rowOff>155850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84</xdr:col>
      <xdr:colOff>0</xdr:colOff>
      <xdr:row>33</xdr:row>
      <xdr:rowOff>0</xdr:rowOff>
    </xdr:from>
    <xdr:to>
      <xdr:col>94</xdr:col>
      <xdr:colOff>36700</xdr:colOff>
      <xdr:row>46</xdr:row>
      <xdr:rowOff>155850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96</xdr:col>
      <xdr:colOff>340179</xdr:colOff>
      <xdr:row>59</xdr:row>
      <xdr:rowOff>165553</xdr:rowOff>
    </xdr:from>
    <xdr:to>
      <xdr:col>106</xdr:col>
      <xdr:colOff>427679</xdr:colOff>
      <xdr:row>73</xdr:row>
      <xdr:rowOff>156303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86</xdr:col>
      <xdr:colOff>0</xdr:colOff>
      <xdr:row>70</xdr:row>
      <xdr:rowOff>0</xdr:rowOff>
    </xdr:from>
    <xdr:to>
      <xdr:col>96</xdr:col>
      <xdr:colOff>87500</xdr:colOff>
      <xdr:row>83</xdr:row>
      <xdr:rowOff>197125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86</xdr:col>
      <xdr:colOff>0</xdr:colOff>
      <xdr:row>52</xdr:row>
      <xdr:rowOff>0</xdr:rowOff>
    </xdr:from>
    <xdr:to>
      <xdr:col>96</xdr:col>
      <xdr:colOff>87500</xdr:colOff>
      <xdr:row>63</xdr:row>
      <xdr:rowOff>86000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618566</xdr:colOff>
      <xdr:row>2</xdr:row>
      <xdr:rowOff>100853</xdr:rowOff>
    </xdr:from>
    <xdr:to>
      <xdr:col>32</xdr:col>
      <xdr:colOff>437542</xdr:colOff>
      <xdr:row>19</xdr:row>
      <xdr:rowOff>169880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638736</xdr:colOff>
      <xdr:row>20</xdr:row>
      <xdr:rowOff>41462</xdr:rowOff>
    </xdr:from>
    <xdr:to>
      <xdr:col>32</xdr:col>
      <xdr:colOff>440903</xdr:colOff>
      <xdr:row>37</xdr:row>
      <xdr:rowOff>168197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649943</xdr:colOff>
      <xdr:row>38</xdr:row>
      <xdr:rowOff>62753</xdr:rowOff>
    </xdr:from>
    <xdr:to>
      <xdr:col>32</xdr:col>
      <xdr:colOff>444266</xdr:colOff>
      <xdr:row>55</xdr:row>
      <xdr:rowOff>32047</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11206</xdr:colOff>
      <xdr:row>55</xdr:row>
      <xdr:rowOff>152401</xdr:rowOff>
    </xdr:from>
    <xdr:to>
      <xdr:col>32</xdr:col>
      <xdr:colOff>511500</xdr:colOff>
      <xdr:row>73</xdr:row>
      <xdr:rowOff>54460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156883</xdr:colOff>
      <xdr:row>73</xdr:row>
      <xdr:rowOff>0</xdr:rowOff>
    </xdr:from>
    <xdr:to>
      <xdr:col>32</xdr:col>
      <xdr:colOff>657177</xdr:colOff>
      <xdr:row>100</xdr:row>
      <xdr:rowOff>47735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0</xdr:colOff>
      <xdr:row>101</xdr:row>
      <xdr:rowOff>0</xdr:rowOff>
    </xdr:from>
    <xdr:to>
      <xdr:col>32</xdr:col>
      <xdr:colOff>500294</xdr:colOff>
      <xdr:row>127</xdr:row>
      <xdr:rowOff>171000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0</xdr:colOff>
      <xdr:row>129</xdr:row>
      <xdr:rowOff>0</xdr:rowOff>
    </xdr:from>
    <xdr:to>
      <xdr:col>32</xdr:col>
      <xdr:colOff>500294</xdr:colOff>
      <xdr:row>151</xdr:row>
      <xdr:rowOff>171000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69</xdr:col>
      <xdr:colOff>0</xdr:colOff>
      <xdr:row>3</xdr:row>
      <xdr:rowOff>0</xdr:rowOff>
    </xdr:from>
    <xdr:to>
      <xdr:col>78</xdr:col>
      <xdr:colOff>609107</xdr:colOff>
      <xdr:row>16</xdr:row>
      <xdr:rowOff>185786</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69</xdr:col>
      <xdr:colOff>0</xdr:colOff>
      <xdr:row>18</xdr:row>
      <xdr:rowOff>0</xdr:rowOff>
    </xdr:from>
    <xdr:to>
      <xdr:col>78</xdr:col>
      <xdr:colOff>609107</xdr:colOff>
      <xdr:row>32</xdr:row>
      <xdr:rowOff>22500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69</xdr:col>
      <xdr:colOff>0</xdr:colOff>
      <xdr:row>46</xdr:row>
      <xdr:rowOff>0</xdr:rowOff>
    </xdr:from>
    <xdr:to>
      <xdr:col>78</xdr:col>
      <xdr:colOff>609107</xdr:colOff>
      <xdr:row>59</xdr:row>
      <xdr:rowOff>185786</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69</xdr:col>
      <xdr:colOff>0</xdr:colOff>
      <xdr:row>61</xdr:row>
      <xdr:rowOff>0</xdr:rowOff>
    </xdr:from>
    <xdr:to>
      <xdr:col>78</xdr:col>
      <xdr:colOff>609107</xdr:colOff>
      <xdr:row>74</xdr:row>
      <xdr:rowOff>49714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80</xdr:col>
      <xdr:colOff>0</xdr:colOff>
      <xdr:row>18</xdr:row>
      <xdr:rowOff>0</xdr:rowOff>
    </xdr:from>
    <xdr:to>
      <xdr:col>89</xdr:col>
      <xdr:colOff>609107</xdr:colOff>
      <xdr:row>32</xdr:row>
      <xdr:rowOff>22500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91</xdr:col>
      <xdr:colOff>0</xdr:colOff>
      <xdr:row>18</xdr:row>
      <xdr:rowOff>0</xdr:rowOff>
    </xdr:from>
    <xdr:to>
      <xdr:col>100</xdr:col>
      <xdr:colOff>609107</xdr:colOff>
      <xdr:row>32</xdr:row>
      <xdr:rowOff>22500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80</xdr:col>
      <xdr:colOff>0</xdr:colOff>
      <xdr:row>61</xdr:row>
      <xdr:rowOff>0</xdr:rowOff>
    </xdr:from>
    <xdr:to>
      <xdr:col>89</xdr:col>
      <xdr:colOff>609107</xdr:colOff>
      <xdr:row>74</xdr:row>
      <xdr:rowOff>36107</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91</xdr:col>
      <xdr:colOff>0</xdr:colOff>
      <xdr:row>61</xdr:row>
      <xdr:rowOff>0</xdr:rowOff>
    </xdr:from>
    <xdr:to>
      <xdr:col>100</xdr:col>
      <xdr:colOff>609107</xdr:colOff>
      <xdr:row>74</xdr:row>
      <xdr:rowOff>49714</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135391</xdr:colOff>
      <xdr:row>57</xdr:row>
      <xdr:rowOff>149680</xdr:rowOff>
    </xdr:from>
    <xdr:to>
      <xdr:col>10</xdr:col>
      <xdr:colOff>299357</xdr:colOff>
      <xdr:row>71</xdr:row>
      <xdr:rowOff>40822</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828676</xdr:colOff>
      <xdr:row>165</xdr:row>
      <xdr:rowOff>9524</xdr:rowOff>
    </xdr:from>
    <xdr:to>
      <xdr:col>12</xdr:col>
      <xdr:colOff>340179</xdr:colOff>
      <xdr:row>182</xdr:row>
      <xdr:rowOff>190499</xdr:rowOff>
    </xdr:to>
    <xdr:graphicFrame macro="">
      <xdr:nvGraphicFramePr>
        <xdr:cNvPr id="7" name="Diagra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127001</xdr:colOff>
      <xdr:row>79</xdr:row>
      <xdr:rowOff>182562</xdr:rowOff>
    </xdr:from>
    <xdr:to>
      <xdr:col>33</xdr:col>
      <xdr:colOff>455938</xdr:colOff>
      <xdr:row>95</xdr:row>
      <xdr:rowOff>139250</xdr:rowOff>
    </xdr:to>
    <xdr:graphicFrame macro="">
      <xdr:nvGraphicFramePr>
        <xdr:cNvPr id="36" name="Diagram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492125</xdr:colOff>
      <xdr:row>79</xdr:row>
      <xdr:rowOff>142875</xdr:rowOff>
    </xdr:from>
    <xdr:to>
      <xdr:col>47</xdr:col>
      <xdr:colOff>209875</xdr:colOff>
      <xdr:row>95</xdr:row>
      <xdr:rowOff>123375</xdr:rowOff>
    </xdr:to>
    <xdr:graphicFrame macro="">
      <xdr:nvGraphicFramePr>
        <xdr:cNvPr id="37" name="Diagram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1905000</xdr:colOff>
      <xdr:row>225</xdr:row>
      <xdr:rowOff>52728</xdr:rowOff>
    </xdr:from>
    <xdr:to>
      <xdr:col>15</xdr:col>
      <xdr:colOff>1428281</xdr:colOff>
      <xdr:row>244</xdr:row>
      <xdr:rowOff>33228</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1838739</xdr:colOff>
      <xdr:row>244</xdr:row>
      <xdr:rowOff>124239</xdr:rowOff>
    </xdr:from>
    <xdr:to>
      <xdr:col>15</xdr:col>
      <xdr:colOff>1362020</xdr:colOff>
      <xdr:row>263</xdr:row>
      <xdr:rowOff>104739</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tabSelected="1" workbookViewId="0">
      <selection activeCell="B1" sqref="B1"/>
    </sheetView>
  </sheetViews>
  <sheetFormatPr defaultRowHeight="15" x14ac:dyDescent="0.25"/>
  <cols>
    <col min="1" max="1" width="1.42578125" customWidth="1"/>
    <col min="12" max="12" width="44.85546875" bestFit="1" customWidth="1"/>
  </cols>
  <sheetData>
    <row r="1" spans="2:11" s="956" customFormat="1" x14ac:dyDescent="0.25"/>
    <row r="2" spans="2:11" ht="15.75" thickBot="1" x14ac:dyDescent="0.3"/>
    <row r="3" spans="2:11" x14ac:dyDescent="0.25">
      <c r="B3" s="1886" t="s">
        <v>525</v>
      </c>
      <c r="C3" s="1887"/>
      <c r="D3" s="1887"/>
      <c r="E3" s="1887"/>
      <c r="F3" s="1887"/>
      <c r="G3" s="1887"/>
      <c r="H3" s="1887"/>
      <c r="I3" s="1887"/>
      <c r="J3" s="1887"/>
      <c r="K3" s="1888"/>
    </row>
    <row r="4" spans="2:11" x14ac:dyDescent="0.25">
      <c r="B4" s="1880" t="s">
        <v>523</v>
      </c>
      <c r="C4" s="1881"/>
      <c r="D4" s="1881"/>
      <c r="E4" s="1881"/>
      <c r="F4" s="1881"/>
      <c r="G4" s="1881"/>
      <c r="H4" s="1881"/>
      <c r="I4" s="1881"/>
      <c r="J4" s="1881"/>
      <c r="K4" s="1882"/>
    </row>
    <row r="5" spans="2:11" x14ac:dyDescent="0.25">
      <c r="B5" s="1880"/>
      <c r="C5" s="1881"/>
      <c r="D5" s="1881"/>
      <c r="E5" s="1881"/>
      <c r="F5" s="1881"/>
      <c r="G5" s="1881"/>
      <c r="H5" s="1881"/>
      <c r="I5" s="1881"/>
      <c r="J5" s="1881"/>
      <c r="K5" s="1882"/>
    </row>
    <row r="6" spans="2:11" s="956" customFormat="1" ht="15.75" thickBot="1" x14ac:dyDescent="0.3">
      <c r="B6" s="1883"/>
      <c r="C6" s="1884"/>
      <c r="D6" s="1884"/>
      <c r="E6" s="1884"/>
      <c r="F6" s="1884"/>
      <c r="G6" s="1884"/>
      <c r="H6" s="1884"/>
      <c r="I6" s="1884"/>
      <c r="J6" s="1884"/>
      <c r="K6" s="1885"/>
    </row>
    <row r="7" spans="2:11" s="956" customFormat="1" x14ac:dyDescent="0.25"/>
    <row r="8" spans="2:11" s="956" customFormat="1" ht="15.75" thickBot="1" x14ac:dyDescent="0.3"/>
    <row r="9" spans="2:11" x14ac:dyDescent="0.25">
      <c r="B9" s="1886" t="s">
        <v>522</v>
      </c>
      <c r="C9" s="1887"/>
      <c r="D9" s="1887"/>
      <c r="E9" s="1887"/>
      <c r="F9" s="1887"/>
      <c r="G9" s="1887"/>
      <c r="H9" s="1887"/>
      <c r="I9" s="1887"/>
      <c r="J9" s="1887"/>
      <c r="K9" s="1888"/>
    </row>
    <row r="10" spans="2:11" ht="15" customHeight="1" x14ac:dyDescent="0.25">
      <c r="B10" s="1889" t="s">
        <v>526</v>
      </c>
      <c r="C10" s="1890"/>
      <c r="D10" s="1890"/>
      <c r="E10" s="1890"/>
      <c r="F10" s="1890"/>
      <c r="G10" s="1890"/>
      <c r="H10" s="1890"/>
      <c r="I10" s="1890"/>
      <c r="J10" s="1890"/>
      <c r="K10" s="1891"/>
    </row>
    <row r="11" spans="2:11" x14ac:dyDescent="0.25">
      <c r="B11" s="1880"/>
      <c r="C11" s="1881"/>
      <c r="D11" s="1881"/>
      <c r="E11" s="1881"/>
      <c r="F11" s="1881"/>
      <c r="G11" s="1881"/>
      <c r="H11" s="1881"/>
      <c r="I11" s="1881"/>
      <c r="J11" s="1881"/>
      <c r="K11" s="1882"/>
    </row>
    <row r="12" spans="2:11" ht="15.75" thickBot="1" x14ac:dyDescent="0.3">
      <c r="B12" s="1883"/>
      <c r="C12" s="1884"/>
      <c r="D12" s="1884"/>
      <c r="E12" s="1884"/>
      <c r="F12" s="1884"/>
      <c r="G12" s="1884"/>
      <c r="H12" s="1884"/>
      <c r="I12" s="1884"/>
      <c r="J12" s="1884"/>
      <c r="K12" s="1885"/>
    </row>
    <row r="14" spans="2:11" ht="15.75" thickBot="1" x14ac:dyDescent="0.3"/>
    <row r="15" spans="2:11" x14ac:dyDescent="0.25">
      <c r="B15" s="1886" t="s">
        <v>450</v>
      </c>
      <c r="C15" s="1887"/>
      <c r="D15" s="1887"/>
      <c r="E15" s="1887"/>
      <c r="F15" s="1887"/>
      <c r="G15" s="1887"/>
      <c r="H15" s="1887"/>
      <c r="I15" s="1887"/>
      <c r="J15" s="1887"/>
      <c r="K15" s="1888"/>
    </row>
    <row r="16" spans="2:11" x14ac:dyDescent="0.25">
      <c r="B16" s="1880" t="s">
        <v>524</v>
      </c>
      <c r="C16" s="1881"/>
      <c r="D16" s="1881"/>
      <c r="E16" s="1881"/>
      <c r="F16" s="1881"/>
      <c r="G16" s="1881"/>
      <c r="H16" s="1881"/>
      <c r="I16" s="1881"/>
      <c r="J16" s="1881"/>
      <c r="K16" s="1882"/>
    </row>
    <row r="17" spans="2:11" x14ac:dyDescent="0.25">
      <c r="B17" s="1880"/>
      <c r="C17" s="1881"/>
      <c r="D17" s="1881"/>
      <c r="E17" s="1881"/>
      <c r="F17" s="1881"/>
      <c r="G17" s="1881"/>
      <c r="H17" s="1881"/>
      <c r="I17" s="1881"/>
      <c r="J17" s="1881"/>
      <c r="K17" s="1882"/>
    </row>
    <row r="18" spans="2:11" x14ac:dyDescent="0.25">
      <c r="B18" s="1880"/>
      <c r="C18" s="1881"/>
      <c r="D18" s="1881"/>
      <c r="E18" s="1881"/>
      <c r="F18" s="1881"/>
      <c r="G18" s="1881"/>
      <c r="H18" s="1881"/>
      <c r="I18" s="1881"/>
      <c r="J18" s="1881"/>
      <c r="K18" s="1882"/>
    </row>
    <row r="19" spans="2:11" x14ac:dyDescent="0.25">
      <c r="B19" s="1880"/>
      <c r="C19" s="1881"/>
      <c r="D19" s="1881"/>
      <c r="E19" s="1881"/>
      <c r="F19" s="1881"/>
      <c r="G19" s="1881"/>
      <c r="H19" s="1881"/>
      <c r="I19" s="1881"/>
      <c r="J19" s="1881"/>
      <c r="K19" s="1882"/>
    </row>
    <row r="20" spans="2:11" ht="15.75" thickBot="1" x14ac:dyDescent="0.3">
      <c r="B20" s="1883"/>
      <c r="C20" s="1884"/>
      <c r="D20" s="1884"/>
      <c r="E20" s="1884"/>
      <c r="F20" s="1884"/>
      <c r="G20" s="1884"/>
      <c r="H20" s="1884"/>
      <c r="I20" s="1884"/>
      <c r="J20" s="1884"/>
      <c r="K20" s="1885"/>
    </row>
  </sheetData>
  <sheetProtection algorithmName="SHA-512" hashValue="tbPMaooqUeNcTXK7WY/lBJ3D7zVXSjnnNH5NePDQkqaJQsmTETtsRSfwGc0AUK/91fBfZc4OIsHedknO0FxNag==" saltValue="pBXzRsB0rJ4iKO9Pa0iz4Q==" spinCount="100000" sheet="1" objects="1" scenarios="1" selectLockedCells="1" selectUnlockedCells="1"/>
  <mergeCells count="6">
    <mergeCell ref="B16:K20"/>
    <mergeCell ref="B15:K15"/>
    <mergeCell ref="B4:K6"/>
    <mergeCell ref="B9:K9"/>
    <mergeCell ref="B3:K3"/>
    <mergeCell ref="B10:K1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J208"/>
  <sheetViews>
    <sheetView topLeftCell="AB1" zoomScaleNormal="100" workbookViewId="0">
      <selection activeCell="AF21" sqref="AF21"/>
    </sheetView>
  </sheetViews>
  <sheetFormatPr defaultRowHeight="15" x14ac:dyDescent="0.25"/>
  <cols>
    <col min="1" max="1" width="1.42578125" customWidth="1"/>
    <col min="2" max="2" width="32.7109375" customWidth="1"/>
    <col min="3" max="5" width="10.5703125" bestFit="1" customWidth="1"/>
    <col min="6" max="6" width="9.5703125" customWidth="1"/>
    <col min="7" max="7" width="9.28515625" customWidth="1"/>
    <col min="8" max="8" width="7.7109375" style="932" customWidth="1"/>
    <col min="9" max="9" width="7.7109375" style="931" bestFit="1" customWidth="1"/>
    <col min="10" max="11" width="7.7109375" style="932" bestFit="1" customWidth="1"/>
    <col min="12" max="12" width="9.140625" style="932"/>
    <col min="13" max="13" width="9.140625" style="899" customWidth="1"/>
    <col min="14" max="26" width="9.140625" customWidth="1"/>
    <col min="27" max="27" width="27.7109375" customWidth="1"/>
    <col min="28" max="40" width="9.140625" customWidth="1"/>
    <col min="41" max="41" width="15.7109375" bestFit="1" customWidth="1"/>
    <col min="42" max="42" width="14.140625" bestFit="1" customWidth="1"/>
    <col min="43" max="43" width="15.7109375" bestFit="1" customWidth="1"/>
    <col min="44" max="44" width="14.140625" bestFit="1" customWidth="1"/>
  </cols>
  <sheetData>
    <row r="1" spans="1:62" s="73" customFormat="1" ht="7.5" customHeight="1" thickBot="1" x14ac:dyDescent="0.3">
      <c r="H1" s="932"/>
      <c r="I1" s="931"/>
      <c r="J1" s="932"/>
      <c r="K1" s="932"/>
      <c r="L1" s="932"/>
      <c r="M1" s="899"/>
    </row>
    <row r="2" spans="1:62" ht="27" thickBot="1" x14ac:dyDescent="0.45">
      <c r="B2" s="202" t="s">
        <v>315</v>
      </c>
      <c r="C2" s="203"/>
      <c r="D2" s="203"/>
      <c r="E2" s="203"/>
      <c r="F2" s="203"/>
      <c r="G2" s="203"/>
      <c r="H2" s="203"/>
      <c r="I2" s="204"/>
      <c r="J2" s="204"/>
      <c r="K2" s="1312"/>
      <c r="L2" s="205"/>
      <c r="AA2" s="202" t="s">
        <v>474</v>
      </c>
      <c r="AB2" s="203"/>
      <c r="AC2" s="203"/>
      <c r="AD2" s="203"/>
      <c r="AE2" s="203"/>
      <c r="AF2" s="203"/>
      <c r="AG2" s="203"/>
      <c r="AH2" s="204"/>
      <c r="AI2" s="204"/>
      <c r="AJ2" s="1312"/>
      <c r="AK2" s="1313"/>
      <c r="AL2" s="899"/>
      <c r="BA2" s="891"/>
    </row>
    <row r="3" spans="1:62" ht="16.5" thickBot="1" x14ac:dyDescent="0.3">
      <c r="J3" s="931"/>
      <c r="K3" s="931"/>
      <c r="AA3" s="185" t="s">
        <v>475</v>
      </c>
      <c r="AB3" s="1314"/>
      <c r="AC3" s="1314"/>
      <c r="AD3" s="1314"/>
      <c r="AE3" s="1314"/>
      <c r="AF3" s="1314"/>
      <c r="AG3" s="1314"/>
      <c r="AH3" s="1314"/>
      <c r="AI3" s="1314"/>
      <c r="AJ3" s="1314"/>
      <c r="AK3" s="1315"/>
      <c r="AL3" s="899"/>
      <c r="BA3" s="891"/>
    </row>
    <row r="4" spans="1:62" ht="19.5" thickBot="1" x14ac:dyDescent="0.35">
      <c r="B4" s="213" t="s">
        <v>149</v>
      </c>
      <c r="C4" s="100">
        <v>2010</v>
      </c>
      <c r="D4" s="163">
        <v>2020</v>
      </c>
      <c r="E4" s="163">
        <v>2030</v>
      </c>
      <c r="F4" s="163">
        <v>2040</v>
      </c>
      <c r="G4" s="164">
        <v>2050</v>
      </c>
      <c r="H4" s="100">
        <v>2010</v>
      </c>
      <c r="I4" s="929">
        <v>2020</v>
      </c>
      <c r="J4" s="929">
        <v>2030</v>
      </c>
      <c r="K4" s="929">
        <v>2040</v>
      </c>
      <c r="L4" s="930">
        <v>2050</v>
      </c>
      <c r="AA4" s="185" t="s">
        <v>478</v>
      </c>
      <c r="AB4" s="1314"/>
      <c r="AC4" s="1314"/>
      <c r="AD4" s="1314"/>
      <c r="AE4" s="1314"/>
      <c r="AF4" s="1314"/>
      <c r="AG4" s="1314"/>
      <c r="AH4" s="1314"/>
      <c r="AI4" s="1314"/>
      <c r="AJ4" s="1314"/>
      <c r="AK4" s="1315"/>
      <c r="AL4" s="899"/>
      <c r="AM4" s="956"/>
      <c r="AN4" s="956"/>
      <c r="AO4" s="956"/>
      <c r="AP4" s="956"/>
      <c r="AQ4" s="956"/>
      <c r="AR4" s="956"/>
      <c r="AS4" s="956"/>
      <c r="AT4" s="956"/>
      <c r="AU4" s="956"/>
      <c r="AV4" s="956"/>
      <c r="AW4" s="956"/>
      <c r="AX4" s="956"/>
      <c r="AY4" s="956"/>
      <c r="AZ4" s="956"/>
      <c r="BA4" s="891"/>
      <c r="BJ4" s="891"/>
    </row>
    <row r="5" spans="1:62" ht="19.5" thickBot="1" x14ac:dyDescent="0.35">
      <c r="B5" s="184" t="s">
        <v>150</v>
      </c>
      <c r="C5" s="45" t="s">
        <v>42</v>
      </c>
      <c r="D5" s="43" t="s">
        <v>42</v>
      </c>
      <c r="E5" s="43" t="s">
        <v>42</v>
      </c>
      <c r="F5" s="43" t="s">
        <v>42</v>
      </c>
      <c r="G5" s="46" t="s">
        <v>42</v>
      </c>
      <c r="H5" s="65" t="s">
        <v>146</v>
      </c>
      <c r="I5" s="42" t="s">
        <v>146</v>
      </c>
      <c r="J5" s="42" t="s">
        <v>146</v>
      </c>
      <c r="K5" s="42" t="s">
        <v>146</v>
      </c>
      <c r="L5" s="66" t="s">
        <v>146</v>
      </c>
      <c r="AA5" s="1299" t="s">
        <v>368</v>
      </c>
      <c r="AB5" s="1296">
        <v>2010</v>
      </c>
      <c r="AC5" s="1296">
        <v>2020</v>
      </c>
      <c r="AD5" s="1296">
        <v>2030</v>
      </c>
      <c r="AE5" s="1296">
        <v>2040</v>
      </c>
      <c r="AF5" s="1297">
        <v>2050</v>
      </c>
      <c r="AG5" s="1311">
        <v>2010</v>
      </c>
      <c r="AH5" s="1309">
        <v>2020</v>
      </c>
      <c r="AI5" s="1309">
        <v>2030</v>
      </c>
      <c r="AJ5" s="1309">
        <v>2040</v>
      </c>
      <c r="AK5" s="1310">
        <v>2050</v>
      </c>
      <c r="AL5" s="899"/>
      <c r="BA5" s="891"/>
      <c r="BJ5" s="891"/>
    </row>
    <row r="6" spans="1:62" ht="16.5" thickBot="1" x14ac:dyDescent="0.3">
      <c r="B6" s="182" t="s">
        <v>41</v>
      </c>
      <c r="C6" s="1302">
        <f t="shared" ref="C6:G17" si="0">C24+C42</f>
        <v>70.806485710680548</v>
      </c>
      <c r="D6" s="1303">
        <f t="shared" si="0"/>
        <v>61.588047399610154</v>
      </c>
      <c r="E6" s="1303">
        <f t="shared" si="0"/>
        <v>57.337858893853266</v>
      </c>
      <c r="F6" s="1303">
        <f t="shared" si="0"/>
        <v>49.028369151447016</v>
      </c>
      <c r="G6" s="1304">
        <f t="shared" si="0"/>
        <v>40.718879409040767</v>
      </c>
      <c r="H6" s="283">
        <f>(C6+0.1)/($C6+0.1)</f>
        <v>1</v>
      </c>
      <c r="I6" s="284">
        <f t="shared" ref="I6:L17" si="1">(D6+0.1)/($C6+0.1)</f>
        <v>0.86999160628712657</v>
      </c>
      <c r="J6" s="284">
        <f t="shared" si="1"/>
        <v>0.81005084821460116</v>
      </c>
      <c r="K6" s="284">
        <f t="shared" si="1"/>
        <v>0.69286143092615404</v>
      </c>
      <c r="L6" s="285">
        <f t="shared" si="1"/>
        <v>0.57567201363770704</v>
      </c>
      <c r="M6" s="920"/>
      <c r="AA6" s="122"/>
      <c r="AB6" s="43" t="s">
        <v>476</v>
      </c>
      <c r="AC6" s="43" t="s">
        <v>476</v>
      </c>
      <c r="AD6" s="43" t="s">
        <v>476</v>
      </c>
      <c r="AE6" s="43" t="s">
        <v>476</v>
      </c>
      <c r="AF6" s="46" t="s">
        <v>476</v>
      </c>
      <c r="AG6" s="65" t="s">
        <v>146</v>
      </c>
      <c r="AH6" s="42" t="s">
        <v>146</v>
      </c>
      <c r="AI6" s="42" t="s">
        <v>146</v>
      </c>
      <c r="AJ6" s="42" t="s">
        <v>146</v>
      </c>
      <c r="AK6" s="66" t="s">
        <v>146</v>
      </c>
      <c r="AL6" s="899"/>
      <c r="BA6" s="891"/>
      <c r="BJ6" s="891"/>
    </row>
    <row r="7" spans="1:62" ht="15.75" x14ac:dyDescent="0.25">
      <c r="A7" s="2"/>
      <c r="B7" s="177" t="s">
        <v>3</v>
      </c>
      <c r="C7" s="235">
        <f t="shared" si="0"/>
        <v>145.72643524434929</v>
      </c>
      <c r="D7" s="300">
        <f t="shared" si="0"/>
        <v>149.87790555592488</v>
      </c>
      <c r="E7" s="300">
        <f t="shared" si="0"/>
        <v>158.4648148319942</v>
      </c>
      <c r="F7" s="300">
        <f t="shared" si="0"/>
        <v>174.28725653377225</v>
      </c>
      <c r="G7" s="236">
        <f t="shared" si="0"/>
        <v>190.1096982355503</v>
      </c>
      <c r="H7" s="286">
        <f t="shared" ref="H7:H17" si="2">(C7+0.1)/($C7+0.1)</f>
        <v>1</v>
      </c>
      <c r="I7" s="287">
        <f t="shared" si="1"/>
        <v>1.028468571590736</v>
      </c>
      <c r="J7" s="287">
        <f t="shared" si="1"/>
        <v>1.0873530205020803</v>
      </c>
      <c r="K7" s="287">
        <f t="shared" si="1"/>
        <v>1.195854895866898</v>
      </c>
      <c r="L7" s="288">
        <f t="shared" si="1"/>
        <v>1.3043567712317157</v>
      </c>
      <c r="M7" s="920"/>
      <c r="AA7" s="116" t="s">
        <v>477</v>
      </c>
      <c r="AB7" s="1316">
        <f>162260-122349</f>
        <v>39911</v>
      </c>
      <c r="AC7" s="1316">
        <f>188344-145124</f>
        <v>43220</v>
      </c>
      <c r="AD7" s="1316">
        <f>203466-158173</f>
        <v>45293</v>
      </c>
      <c r="AE7" s="1879">
        <f>(AD7+AF7)/2</f>
        <v>46108.5</v>
      </c>
      <c r="AF7" s="1316">
        <f>213226-166302</f>
        <v>46924</v>
      </c>
      <c r="AG7" s="283">
        <f t="shared" ref="AG7:AG15" si="3">(AB7+0.1)/($AB7+0.1)</f>
        <v>1</v>
      </c>
      <c r="AH7" s="284">
        <f t="shared" ref="AH7:AH15" si="4">(AC7+0.1)/($AB7+0.1)</f>
        <v>1.0829092658433368</v>
      </c>
      <c r="AI7" s="284">
        <f t="shared" ref="AI7:AI15" si="5">(AD7+0.1)/($AB7+0.1)</f>
        <v>1.134849703465953</v>
      </c>
      <c r="AJ7" s="284">
        <f t="shared" ref="AJ7:AJ15" si="6">(AE7+0.1)/($AB7+0.1)</f>
        <v>1.1552826156132003</v>
      </c>
      <c r="AK7" s="285">
        <f t="shared" ref="AK7:AK15" si="7">(AF7+0.1)/($AB7+0.1)</f>
        <v>1.1757155277604476</v>
      </c>
      <c r="AL7" s="1316" t="s">
        <v>366</v>
      </c>
      <c r="AM7" s="1316"/>
      <c r="AN7" s="1316"/>
      <c r="AO7" s="956"/>
      <c r="AP7" s="956"/>
      <c r="AQ7" s="956"/>
      <c r="AR7" s="956"/>
      <c r="AS7" s="956"/>
      <c r="AT7" s="956"/>
      <c r="AU7" s="956"/>
      <c r="AV7" s="956"/>
      <c r="AW7" s="956"/>
      <c r="AX7" s="956"/>
      <c r="AY7" s="956"/>
      <c r="AZ7" s="956"/>
      <c r="BA7" s="891"/>
      <c r="BJ7" s="891"/>
    </row>
    <row r="8" spans="1:62" ht="15.75" x14ac:dyDescent="0.25">
      <c r="A8" s="2"/>
      <c r="B8" s="177" t="s">
        <v>97</v>
      </c>
      <c r="C8" s="235">
        <f t="shared" si="0"/>
        <v>34.130531338372641</v>
      </c>
      <c r="D8" s="300">
        <f t="shared" si="0"/>
        <v>41.678876507927072</v>
      </c>
      <c r="E8" s="300">
        <f t="shared" si="0"/>
        <v>44.608384593366296</v>
      </c>
      <c r="F8" s="300">
        <f t="shared" si="0"/>
        <v>41.88222691356161</v>
      </c>
      <c r="G8" s="236">
        <f t="shared" si="0"/>
        <v>39.156069233756917</v>
      </c>
      <c r="H8" s="286">
        <f t="shared" si="2"/>
        <v>1</v>
      </c>
      <c r="I8" s="287">
        <f t="shared" si="1"/>
        <v>1.2205149868968785</v>
      </c>
      <c r="J8" s="287">
        <f t="shared" si="1"/>
        <v>1.3060967167415223</v>
      </c>
      <c r="K8" s="287">
        <f t="shared" si="1"/>
        <v>1.2264556018299158</v>
      </c>
      <c r="L8" s="288">
        <f t="shared" si="1"/>
        <v>1.146814486918309</v>
      </c>
      <c r="M8" s="920"/>
      <c r="AA8" s="129" t="s">
        <v>367</v>
      </c>
      <c r="AB8" s="157">
        <f>'Vehicle Costs'!E15+'Vehicle Costs'!E18+'Vehicle Costs'!E20</f>
        <v>32064.888156097979</v>
      </c>
      <c r="AC8" s="157">
        <f>'Vehicle Costs'!F15+'Vehicle Costs'!F18+'Vehicle Costs'!F20</f>
        <v>35631.326849959005</v>
      </c>
      <c r="AD8" s="157">
        <f>'Vehicle Costs'!G15+'Vehicle Costs'!G18+'Vehicle Costs'!G20</f>
        <v>39227.700696345884</v>
      </c>
      <c r="AE8" s="157">
        <f>(AD8+AF8)/2</f>
        <v>39742.267612833944</v>
      </c>
      <c r="AF8" s="157">
        <f>'Vehicle Costs'!H15+'Vehicle Costs'!H18+'Vehicle Costs'!H20</f>
        <v>40256.834529322005</v>
      </c>
      <c r="AG8" s="286">
        <f t="shared" si="3"/>
        <v>1</v>
      </c>
      <c r="AH8" s="287">
        <f t="shared" si="4"/>
        <v>1.1112253239108956</v>
      </c>
      <c r="AI8" s="287">
        <f t="shared" si="5"/>
        <v>1.2233842253543983</v>
      </c>
      <c r="AJ8" s="287">
        <f t="shared" si="6"/>
        <v>1.2394318506952549</v>
      </c>
      <c r="AK8" s="288">
        <f t="shared" si="7"/>
        <v>1.2554794760361112</v>
      </c>
      <c r="AL8" s="899"/>
      <c r="BA8" s="891"/>
      <c r="BJ8" s="891"/>
    </row>
    <row r="9" spans="1:62" ht="15.75" x14ac:dyDescent="0.25">
      <c r="A9" s="2"/>
      <c r="B9" s="177" t="s">
        <v>68</v>
      </c>
      <c r="C9" s="235">
        <f t="shared" si="0"/>
        <v>0</v>
      </c>
      <c r="D9" s="300">
        <f t="shared" si="0"/>
        <v>0</v>
      </c>
      <c r="E9" s="300">
        <f t="shared" si="0"/>
        <v>0</v>
      </c>
      <c r="F9" s="300">
        <f t="shared" si="0"/>
        <v>0</v>
      </c>
      <c r="G9" s="236">
        <f t="shared" si="0"/>
        <v>0</v>
      </c>
      <c r="H9" s="286">
        <f t="shared" si="2"/>
        <v>1</v>
      </c>
      <c r="I9" s="287">
        <f t="shared" si="1"/>
        <v>1</v>
      </c>
      <c r="J9" s="287">
        <f t="shared" si="1"/>
        <v>1</v>
      </c>
      <c r="K9" s="287">
        <f t="shared" si="1"/>
        <v>1</v>
      </c>
      <c r="L9" s="288">
        <f t="shared" si="1"/>
        <v>1</v>
      </c>
      <c r="M9" s="920"/>
      <c r="AA9" s="129" t="s">
        <v>369</v>
      </c>
      <c r="AB9" s="157">
        <f>'Vehicle Costs'!E16+'Vehicle Costs'!E19+'Vehicle Costs'!E21</f>
        <v>19450.760452184386</v>
      </c>
      <c r="AC9" s="157">
        <f>'Vehicle Costs'!F16+'Vehicle Costs'!F19+'Vehicle Costs'!F21</f>
        <v>21598.592633655244</v>
      </c>
      <c r="AD9" s="157">
        <f>'Vehicle Costs'!G16+'Vehicle Costs'!G19+'Vehicle Costs'!G21</f>
        <v>24147.197985700957</v>
      </c>
      <c r="AE9" s="157">
        <f>(AD9+AF9)/2</f>
        <v>24347.10326546523</v>
      </c>
      <c r="AF9" s="157">
        <f>'Vehicle Costs'!H16+'Vehicle Costs'!H19+'Vehicle Costs'!H21</f>
        <v>24547.008545229499</v>
      </c>
      <c r="AG9" s="286">
        <f t="shared" si="3"/>
        <v>1</v>
      </c>
      <c r="AH9" s="287">
        <f t="shared" si="4"/>
        <v>1.1104235047467861</v>
      </c>
      <c r="AI9" s="287">
        <f t="shared" si="5"/>
        <v>1.2414514023717211</v>
      </c>
      <c r="AJ9" s="287">
        <f t="shared" si="6"/>
        <v>1.2517288541202285</v>
      </c>
      <c r="AK9" s="288">
        <f t="shared" si="7"/>
        <v>1.2620063058687354</v>
      </c>
      <c r="AL9" s="899"/>
      <c r="BA9" s="891"/>
      <c r="BJ9" s="891"/>
    </row>
    <row r="10" spans="1:62" ht="15.75" x14ac:dyDescent="0.25">
      <c r="A10" s="2"/>
      <c r="B10" s="177" t="s">
        <v>43</v>
      </c>
      <c r="C10" s="235">
        <f t="shared" si="0"/>
        <v>0.22948338869161566</v>
      </c>
      <c r="D10" s="300">
        <f t="shared" si="0"/>
        <v>4.0476132807982825</v>
      </c>
      <c r="E10" s="300">
        <f t="shared" si="0"/>
        <v>4.3060323532242677</v>
      </c>
      <c r="F10" s="300">
        <f t="shared" si="0"/>
        <v>4.6027337096996082</v>
      </c>
      <c r="G10" s="236">
        <f t="shared" si="0"/>
        <v>4.8994350661749468</v>
      </c>
      <c r="H10" s="286">
        <f t="shared" si="2"/>
        <v>1</v>
      </c>
      <c r="I10" s="287">
        <f t="shared" si="1"/>
        <v>12.588231829436159</v>
      </c>
      <c r="J10" s="287">
        <f t="shared" si="1"/>
        <v>13.372547765520743</v>
      </c>
      <c r="K10" s="287">
        <f t="shared" si="1"/>
        <v>14.273052515255007</v>
      </c>
      <c r="L10" s="288">
        <f t="shared" si="1"/>
        <v>15.173557264989265</v>
      </c>
      <c r="M10" s="920"/>
      <c r="AA10" s="129" t="s">
        <v>386</v>
      </c>
      <c r="AB10" s="157">
        <f>'Vehicle Costs'!E17</f>
        <v>0</v>
      </c>
      <c r="AC10" s="157">
        <f>'Vehicle Costs'!F17</f>
        <v>0</v>
      </c>
      <c r="AD10" s="157">
        <f>'Vehicle Costs'!G17</f>
        <v>0</v>
      </c>
      <c r="AE10" s="157">
        <f>(AD10+AF10)/2</f>
        <v>0</v>
      </c>
      <c r="AF10" s="157">
        <f>'Vehicle Costs'!H17</f>
        <v>0</v>
      </c>
      <c r="AG10" s="286">
        <f t="shared" si="3"/>
        <v>1</v>
      </c>
      <c r="AH10" s="287">
        <f t="shared" si="4"/>
        <v>1</v>
      </c>
      <c r="AI10" s="287">
        <f t="shared" si="5"/>
        <v>1</v>
      </c>
      <c r="AJ10" s="287">
        <f t="shared" si="6"/>
        <v>1</v>
      </c>
      <c r="AK10" s="288">
        <f t="shared" si="7"/>
        <v>1</v>
      </c>
      <c r="AL10" s="899"/>
      <c r="BA10" s="891"/>
      <c r="BJ10" s="891"/>
    </row>
    <row r="11" spans="1:62" ht="15.75" x14ac:dyDescent="0.25">
      <c r="A11" s="2"/>
      <c r="B11" s="177" t="s">
        <v>74</v>
      </c>
      <c r="C11" s="1562">
        <f t="shared" si="0"/>
        <v>0.67872892314868094</v>
      </c>
      <c r="D11" s="1563">
        <f t="shared" si="0"/>
        <v>6.9363993604705119</v>
      </c>
      <c r="E11" s="1563">
        <f t="shared" si="0"/>
        <v>7.1968925856141652</v>
      </c>
      <c r="F11" s="1563">
        <f t="shared" si="0"/>
        <v>7.5361279424928478</v>
      </c>
      <c r="G11" s="1564">
        <f t="shared" si="0"/>
        <v>7.8753632993715303</v>
      </c>
      <c r="H11" s="286">
        <f>(C11+0.1)/($C11+0.1)</f>
        <v>1</v>
      </c>
      <c r="I11" s="287">
        <f>(D11+0.1)/($C11+0.1)</f>
        <v>9.0357493491057461</v>
      </c>
      <c r="J11" s="287">
        <f>(E11+0.1)/($C11+0.1)</f>
        <v>9.3702601363645339</v>
      </c>
      <c r="K11" s="287">
        <f>(F11+0.1)/($C11+0.1)</f>
        <v>9.8058871521263615</v>
      </c>
      <c r="L11" s="288">
        <f>(G11+0.1)/($C11+0.1)</f>
        <v>10.241514167888191</v>
      </c>
      <c r="M11" s="920"/>
      <c r="AA11" s="129" t="s">
        <v>441</v>
      </c>
      <c r="AB11" s="157">
        <f>'Growth, Modal Shift, InfraCosts'!D137</f>
        <v>8231.2568206799442</v>
      </c>
      <c r="AC11" s="157">
        <f>'Growth, Modal Shift, InfraCosts'!E137</f>
        <v>10407.631957645242</v>
      </c>
      <c r="AD11" s="157">
        <f>'Growth, Modal Shift, InfraCosts'!F137</f>
        <v>12904.73590275917</v>
      </c>
      <c r="AE11" s="157">
        <f>'Growth, Modal Shift, InfraCosts'!G137</f>
        <v>14443.464394419942</v>
      </c>
      <c r="AF11" s="157">
        <f>'Growth, Modal Shift, InfraCosts'!H137</f>
        <v>15982.192886080709</v>
      </c>
      <c r="AG11" s="286">
        <f t="shared" si="3"/>
        <v>1</v>
      </c>
      <c r="AH11" s="287">
        <f t="shared" si="4"/>
        <v>1.2644005337610331</v>
      </c>
      <c r="AI11" s="287">
        <f t="shared" si="5"/>
        <v>1.5677653373424258</v>
      </c>
      <c r="AJ11" s="287">
        <f t="shared" si="6"/>
        <v>1.7547003135780528</v>
      </c>
      <c r="AK11" s="288">
        <f t="shared" si="7"/>
        <v>1.9416352898136793</v>
      </c>
      <c r="AL11" s="899"/>
      <c r="BA11" s="891"/>
      <c r="BJ11" s="891"/>
    </row>
    <row r="12" spans="1:62" ht="15.75" x14ac:dyDescent="0.25">
      <c r="A12" s="2"/>
      <c r="B12" s="177" t="s">
        <v>421</v>
      </c>
      <c r="C12" s="1562">
        <f t="shared" si="0"/>
        <v>0</v>
      </c>
      <c r="D12" s="1563">
        <f t="shared" si="0"/>
        <v>0</v>
      </c>
      <c r="E12" s="1563">
        <f t="shared" si="0"/>
        <v>0</v>
      </c>
      <c r="F12" s="1563">
        <f t="shared" si="0"/>
        <v>0</v>
      </c>
      <c r="G12" s="1564">
        <f t="shared" si="0"/>
        <v>0</v>
      </c>
      <c r="H12" s="286">
        <f t="shared" si="2"/>
        <v>1</v>
      </c>
      <c r="I12" s="287">
        <f t="shared" si="1"/>
        <v>1</v>
      </c>
      <c r="J12" s="287">
        <f t="shared" si="1"/>
        <v>1</v>
      </c>
      <c r="K12" s="287">
        <f t="shared" si="1"/>
        <v>1</v>
      </c>
      <c r="L12" s="288">
        <f t="shared" si="1"/>
        <v>1</v>
      </c>
      <c r="M12" s="920"/>
      <c r="AA12" s="129" t="s">
        <v>373</v>
      </c>
      <c r="AB12" s="157">
        <f>+'Growth, Modal Shift, InfraCosts'!D138</f>
        <v>11229.796124168073</v>
      </c>
      <c r="AC12" s="157">
        <f>+'Growth, Modal Shift, InfraCosts'!E138</f>
        <v>19143.964755367793</v>
      </c>
      <c r="AD12" s="157">
        <f>+'Growth, Modal Shift, InfraCosts'!F138</f>
        <v>19073.360432640242</v>
      </c>
      <c r="AE12" s="157">
        <f>+'Growth, Modal Shift, InfraCosts'!G138</f>
        <v>16945.959394984908</v>
      </c>
      <c r="AF12" s="157">
        <f>+'Growth, Modal Shift, InfraCosts'!H138</f>
        <v>16004.044120574577</v>
      </c>
      <c r="AG12" s="286">
        <f t="shared" si="3"/>
        <v>1</v>
      </c>
      <c r="AH12" s="287">
        <f t="shared" si="4"/>
        <v>1.7047410362209392</v>
      </c>
      <c r="AI12" s="287">
        <f t="shared" si="5"/>
        <v>1.6984538611707978</v>
      </c>
      <c r="AJ12" s="287">
        <f t="shared" si="6"/>
        <v>1.5090130137993858</v>
      </c>
      <c r="AK12" s="288">
        <f t="shared" si="7"/>
        <v>1.4251373248352452</v>
      </c>
      <c r="AL12" s="899"/>
      <c r="BA12" s="891"/>
      <c r="BB12" s="891"/>
      <c r="BC12" s="891"/>
      <c r="BD12" s="891"/>
      <c r="BJ12" s="891"/>
    </row>
    <row r="13" spans="1:62" ht="15.75" x14ac:dyDescent="0.25">
      <c r="A13" s="2"/>
      <c r="B13" s="177" t="s">
        <v>78</v>
      </c>
      <c r="C13" s="1562">
        <f t="shared" si="0"/>
        <v>0</v>
      </c>
      <c r="D13" s="1563">
        <f t="shared" si="0"/>
        <v>0</v>
      </c>
      <c r="E13" s="1563">
        <f t="shared" si="0"/>
        <v>0</v>
      </c>
      <c r="F13" s="1563">
        <f t="shared" si="0"/>
        <v>0</v>
      </c>
      <c r="G13" s="1564">
        <f t="shared" si="0"/>
        <v>0</v>
      </c>
      <c r="H13" s="286">
        <f t="shared" si="2"/>
        <v>1</v>
      </c>
      <c r="I13" s="287">
        <f t="shared" si="1"/>
        <v>1</v>
      </c>
      <c r="J13" s="287">
        <f t="shared" si="1"/>
        <v>1</v>
      </c>
      <c r="K13" s="287">
        <f t="shared" si="1"/>
        <v>1</v>
      </c>
      <c r="L13" s="288">
        <f t="shared" si="1"/>
        <v>1</v>
      </c>
      <c r="M13" s="920"/>
      <c r="N13" s="19"/>
      <c r="O13" s="19"/>
      <c r="P13" s="19"/>
      <c r="AA13" s="129" t="s">
        <v>442</v>
      </c>
      <c r="AB13" s="157">
        <f>'Growth, Modal Shift, InfraCosts'!D139</f>
        <v>2954.2873396446239</v>
      </c>
      <c r="AC13" s="157">
        <f>'Growth, Modal Shift, InfraCosts'!E139</f>
        <v>3028.3769916521883</v>
      </c>
      <c r="AD13" s="157">
        <f>'Growth, Modal Shift, InfraCosts'!F139</f>
        <v>3442.6199715409243</v>
      </c>
      <c r="AE13" s="157">
        <f>'Growth, Modal Shift, InfraCosts'!G139</f>
        <v>3485.8654030614603</v>
      </c>
      <c r="AF13" s="157">
        <f>'Growth, Modal Shift, InfraCosts'!H139</f>
        <v>3529.1108345819962</v>
      </c>
      <c r="AG13" s="286">
        <f t="shared" si="3"/>
        <v>1</v>
      </c>
      <c r="AH13" s="287">
        <f t="shared" si="4"/>
        <v>1.0250778396635278</v>
      </c>
      <c r="AI13" s="287">
        <f t="shared" si="5"/>
        <v>1.1652906595365524</v>
      </c>
      <c r="AJ13" s="287">
        <f t="shared" si="6"/>
        <v>1.179928358168763</v>
      </c>
      <c r="AK13" s="288">
        <f t="shared" si="7"/>
        <v>1.1945660568009733</v>
      </c>
      <c r="AL13" s="899"/>
      <c r="BA13" s="891"/>
      <c r="BB13" s="891"/>
      <c r="BC13" s="891"/>
      <c r="BD13" s="891"/>
      <c r="BE13" s="891"/>
      <c r="BF13" s="891"/>
      <c r="BG13" s="891"/>
      <c r="BH13" s="891"/>
      <c r="BI13" s="891"/>
      <c r="BJ13" s="891"/>
    </row>
    <row r="14" spans="1:62" ht="15.75" x14ac:dyDescent="0.25">
      <c r="A14" s="2"/>
      <c r="B14" s="177" t="s">
        <v>409</v>
      </c>
      <c r="C14" s="1562">
        <f t="shared" si="0"/>
        <v>0</v>
      </c>
      <c r="D14" s="1563">
        <f t="shared" si="0"/>
        <v>0</v>
      </c>
      <c r="E14" s="1563">
        <f t="shared" si="0"/>
        <v>0</v>
      </c>
      <c r="F14" s="1563">
        <f t="shared" si="0"/>
        <v>0</v>
      </c>
      <c r="G14" s="1564">
        <f t="shared" si="0"/>
        <v>0</v>
      </c>
      <c r="H14" s="286">
        <f t="shared" si="2"/>
        <v>1</v>
      </c>
      <c r="I14" s="287">
        <f t="shared" si="1"/>
        <v>1</v>
      </c>
      <c r="J14" s="287">
        <f t="shared" si="1"/>
        <v>1</v>
      </c>
      <c r="K14" s="287">
        <f t="shared" si="1"/>
        <v>1</v>
      </c>
      <c r="L14" s="288">
        <f t="shared" si="1"/>
        <v>1</v>
      </c>
      <c r="M14" s="920"/>
      <c r="AA14" s="129" t="s">
        <v>376</v>
      </c>
      <c r="AB14" s="157">
        <f>+'Growth, Modal Shift, InfraCosts'!D140</f>
        <v>5669.2658459138111</v>
      </c>
      <c r="AC14" s="157">
        <f>+'Growth, Modal Shift, InfraCosts'!E140</f>
        <v>6881.6588368741632</v>
      </c>
      <c r="AD14" s="157">
        <f>+'Growth, Modal Shift, InfraCosts'!F140</f>
        <v>8394.8321889721701</v>
      </c>
      <c r="AE14" s="157">
        <f>+'Growth, Modal Shift, InfraCosts'!G140</f>
        <v>8701.5980057885281</v>
      </c>
      <c r="AF14" s="157">
        <f>+'Growth, Modal Shift, InfraCosts'!H140</f>
        <v>9428.952522788386</v>
      </c>
      <c r="AG14" s="286">
        <f t="shared" si="3"/>
        <v>1</v>
      </c>
      <c r="AH14" s="287">
        <f t="shared" si="4"/>
        <v>1.2138498421008026</v>
      </c>
      <c r="AI14" s="287">
        <f t="shared" si="5"/>
        <v>1.4807533006575697</v>
      </c>
      <c r="AJ14" s="287">
        <f t="shared" si="6"/>
        <v>1.5348626711151947</v>
      </c>
      <c r="AK14" s="288">
        <f t="shared" si="7"/>
        <v>1.663158240102703</v>
      </c>
      <c r="AL14" s="899"/>
      <c r="BA14" s="891"/>
      <c r="BB14" s="891"/>
    </row>
    <row r="15" spans="1:62" ht="16.5" thickBot="1" x14ac:dyDescent="0.3">
      <c r="A15" s="2"/>
      <c r="B15" s="177" t="s">
        <v>404</v>
      </c>
      <c r="C15" s="1562">
        <f t="shared" si="0"/>
        <v>0</v>
      </c>
      <c r="D15" s="1563">
        <f t="shared" si="0"/>
        <v>0</v>
      </c>
      <c r="E15" s="1563">
        <f t="shared" si="0"/>
        <v>0</v>
      </c>
      <c r="F15" s="1563">
        <f t="shared" si="0"/>
        <v>0</v>
      </c>
      <c r="G15" s="1564">
        <f t="shared" si="0"/>
        <v>0</v>
      </c>
      <c r="H15" s="286">
        <f t="shared" si="2"/>
        <v>1</v>
      </c>
      <c r="I15" s="287">
        <f t="shared" si="1"/>
        <v>1</v>
      </c>
      <c r="J15" s="287">
        <f t="shared" si="1"/>
        <v>1</v>
      </c>
      <c r="K15" s="287">
        <f t="shared" si="1"/>
        <v>1</v>
      </c>
      <c r="L15" s="288">
        <f t="shared" si="1"/>
        <v>1</v>
      </c>
      <c r="M15" s="920"/>
      <c r="AA15" s="129" t="s">
        <v>111</v>
      </c>
      <c r="AB15" s="157"/>
      <c r="AC15" s="157"/>
      <c r="AD15" s="157"/>
      <c r="AE15" s="157"/>
      <c r="AF15" s="157"/>
      <c r="AG15" s="286">
        <f t="shared" si="3"/>
        <v>1</v>
      </c>
      <c r="AH15" s="287">
        <f t="shared" si="4"/>
        <v>1</v>
      </c>
      <c r="AI15" s="287">
        <f t="shared" si="5"/>
        <v>1</v>
      </c>
      <c r="AJ15" s="287">
        <f t="shared" si="6"/>
        <v>1</v>
      </c>
      <c r="AK15" s="288">
        <f t="shared" si="7"/>
        <v>1</v>
      </c>
      <c r="AL15" s="899"/>
      <c r="BA15" s="896"/>
      <c r="BB15" s="896"/>
    </row>
    <row r="16" spans="1:62" ht="16.5" thickBot="1" x14ac:dyDescent="0.3">
      <c r="A16" s="2"/>
      <c r="B16" s="177" t="s">
        <v>94</v>
      </c>
      <c r="C16" s="1562">
        <f t="shared" si="0"/>
        <v>1.4400261444444442</v>
      </c>
      <c r="D16" s="1563">
        <f t="shared" si="0"/>
        <v>2.604060284181609</v>
      </c>
      <c r="E16" s="1563">
        <f t="shared" si="0"/>
        <v>3.0546053753048596</v>
      </c>
      <c r="F16" s="1563">
        <f t="shared" si="0"/>
        <v>3.1118580784779448</v>
      </c>
      <c r="G16" s="1564">
        <f t="shared" si="0"/>
        <v>3.1691107816510304</v>
      </c>
      <c r="H16" s="286">
        <f t="shared" si="2"/>
        <v>1</v>
      </c>
      <c r="I16" s="287">
        <f t="shared" si="1"/>
        <v>1.7558534924464437</v>
      </c>
      <c r="J16" s="287">
        <f t="shared" si="1"/>
        <v>2.0484102732183587</v>
      </c>
      <c r="K16" s="287">
        <f t="shared" si="1"/>
        <v>2.0855867220595821</v>
      </c>
      <c r="L16" s="288">
        <f t="shared" si="1"/>
        <v>2.1227631709008055</v>
      </c>
      <c r="M16" s="920"/>
      <c r="AA16" s="181" t="s">
        <v>0</v>
      </c>
      <c r="AB16" s="188">
        <f>SUM(AB7:AB15)</f>
        <v>119511.25473868882</v>
      </c>
      <c r="AC16" s="189">
        <f>SUM(AC7:AC15)</f>
        <v>139911.55202515362</v>
      </c>
      <c r="AD16" s="189">
        <f>SUM(AD7:AD15)</f>
        <v>152483.44717795937</v>
      </c>
      <c r="AE16" s="189">
        <f>SUM(AE7:AE15)</f>
        <v>153774.75807655402</v>
      </c>
      <c r="AF16" s="190">
        <f>SUM(AF7:AF15)</f>
        <v>156672.14343857719</v>
      </c>
      <c r="AG16" s="940">
        <v>1</v>
      </c>
      <c r="AH16" s="941">
        <f>AC16/$AB16</f>
        <v>1.1706977081871497</v>
      </c>
      <c r="AI16" s="941">
        <f>AD16/$AB16</f>
        <v>1.2758919443308014</v>
      </c>
      <c r="AJ16" s="279">
        <f>AE16/$AB16</f>
        <v>1.2866968756439074</v>
      </c>
      <c r="AK16" s="942">
        <f>AF16/$AB16</f>
        <v>1.3109404949445187</v>
      </c>
      <c r="AL16" s="899"/>
      <c r="AM16" s="956"/>
      <c r="AN16" s="956"/>
      <c r="AO16" s="956"/>
      <c r="AP16" s="956"/>
      <c r="AQ16" s="956"/>
      <c r="AR16" s="956"/>
      <c r="AS16" s="956"/>
      <c r="AT16" s="956"/>
      <c r="AU16" s="956"/>
      <c r="AV16" s="956"/>
      <c r="AW16" s="956"/>
      <c r="AX16" s="956"/>
      <c r="AY16" s="956"/>
      <c r="AZ16" s="956"/>
      <c r="BA16" s="176"/>
      <c r="BB16" s="176"/>
    </row>
    <row r="17" spans="1:55" ht="16.5" thickBot="1" x14ac:dyDescent="0.3">
      <c r="A17" s="2"/>
      <c r="B17" s="177" t="s">
        <v>484</v>
      </c>
      <c r="C17" s="1562">
        <f t="shared" si="0"/>
        <v>0</v>
      </c>
      <c r="D17" s="1563">
        <f t="shared" si="0"/>
        <v>0</v>
      </c>
      <c r="E17" s="1563">
        <f t="shared" si="0"/>
        <v>0</v>
      </c>
      <c r="F17" s="1563">
        <f t="shared" si="0"/>
        <v>0</v>
      </c>
      <c r="G17" s="1564">
        <f t="shared" si="0"/>
        <v>0</v>
      </c>
      <c r="H17" s="934">
        <f t="shared" si="2"/>
        <v>1</v>
      </c>
      <c r="I17" s="935">
        <f t="shared" si="1"/>
        <v>1</v>
      </c>
      <c r="J17" s="935">
        <f t="shared" si="1"/>
        <v>1</v>
      </c>
      <c r="K17" s="935">
        <f t="shared" si="1"/>
        <v>1</v>
      </c>
      <c r="L17" s="936">
        <f t="shared" si="1"/>
        <v>1</v>
      </c>
      <c r="M17" s="920"/>
      <c r="N17" s="19"/>
      <c r="O17" s="19"/>
      <c r="P17" s="19"/>
      <c r="AB17" s="938"/>
      <c r="AC17" s="938"/>
      <c r="AD17" s="938"/>
      <c r="AE17" s="938"/>
      <c r="AF17" s="938"/>
      <c r="AG17" s="938"/>
      <c r="AH17" s="938"/>
      <c r="AI17" s="938"/>
      <c r="AJ17" s="935"/>
      <c r="AK17" s="939"/>
      <c r="AL17" s="899"/>
    </row>
    <row r="18" spans="1:55" ht="16.5" thickBot="1" x14ac:dyDescent="0.3">
      <c r="B18" s="185" t="s">
        <v>60</v>
      </c>
      <c r="C18" s="1300">
        <f>SUM(C6:C17)</f>
        <v>253.0116907496872</v>
      </c>
      <c r="D18" s="1301">
        <f>SUM(D6:D17)</f>
        <v>266.73290238891252</v>
      </c>
      <c r="E18" s="1301">
        <f>SUM(E6:E17)</f>
        <v>274.96858863335706</v>
      </c>
      <c r="F18" s="1301">
        <f>SUM(F6:F17)</f>
        <v>280.44857232945128</v>
      </c>
      <c r="G18" s="1305">
        <f>SUM(G6:G17)</f>
        <v>285.9285560255455</v>
      </c>
      <c r="H18" s="934">
        <f>C18/$C18</f>
        <v>1</v>
      </c>
      <c r="I18" s="935">
        <f>D18/$C18</f>
        <v>1.0542315321421261</v>
      </c>
      <c r="J18" s="935">
        <f>E18/$C18</f>
        <v>1.0867821475703767</v>
      </c>
      <c r="K18" s="935">
        <f>F18/$C18</f>
        <v>1.1084411613489762</v>
      </c>
      <c r="L18" s="936">
        <f>G18/$C18</f>
        <v>1.1301001751275757</v>
      </c>
      <c r="M18" s="920"/>
      <c r="N18" s="19"/>
      <c r="O18" s="19"/>
      <c r="P18" s="19"/>
      <c r="AA18" s="185" t="s">
        <v>480</v>
      </c>
      <c r="AB18" s="1314"/>
      <c r="AC18" s="1314"/>
      <c r="AD18" s="1314"/>
      <c r="AE18" s="1314"/>
      <c r="AF18" s="1314"/>
      <c r="AG18" s="1314"/>
      <c r="AH18" s="1314"/>
      <c r="AI18" s="1314"/>
      <c r="AJ18" s="1314"/>
      <c r="AK18" s="1315"/>
      <c r="AL18" s="899"/>
      <c r="AM18" s="956"/>
      <c r="AN18" s="956"/>
      <c r="AO18" s="956"/>
      <c r="AP18" s="956"/>
      <c r="AQ18" s="956"/>
      <c r="AR18" s="956"/>
      <c r="AS18" s="956"/>
      <c r="AT18" s="956"/>
      <c r="AU18" s="956"/>
      <c r="AV18" s="956"/>
      <c r="AW18" s="956"/>
      <c r="AX18" s="956"/>
      <c r="AY18" s="956"/>
      <c r="AZ18" s="956"/>
    </row>
    <row r="19" spans="1:55" ht="19.5" thickBot="1" x14ac:dyDescent="0.35">
      <c r="B19" s="121" t="s">
        <v>439</v>
      </c>
      <c r="C19" s="1306">
        <f>(SUM(C9:C17)/C18)</f>
        <v>9.2811460582188296E-3</v>
      </c>
      <c r="D19" s="1307">
        <f>(SUM(D9:D17)/D18)</f>
        <v>5.0942620140796056E-2</v>
      </c>
      <c r="E19" s="1307">
        <f>(SUM(E9:E17)/E18)</f>
        <v>5.2942521131220173E-2</v>
      </c>
      <c r="F19" s="1307">
        <f>(SUM(F9:F17)/F18)</f>
        <v>5.4379737447031562E-2</v>
      </c>
      <c r="G19" s="1308">
        <f>(SUM(G9:G17)/G18)</f>
        <v>5.576186362362856E-2</v>
      </c>
      <c r="J19" s="931"/>
      <c r="K19" s="931"/>
      <c r="L19" s="19"/>
      <c r="M19" s="900"/>
      <c r="N19" s="19"/>
      <c r="O19" s="19"/>
      <c r="P19" s="19"/>
      <c r="AA19" s="1299" t="s">
        <v>368</v>
      </c>
      <c r="AB19" s="1296">
        <v>2010</v>
      </c>
      <c r="AC19" s="1296">
        <v>2020</v>
      </c>
      <c r="AD19" s="1296">
        <v>2030</v>
      </c>
      <c r="AE19" s="1296">
        <v>2040</v>
      </c>
      <c r="AF19" s="1297">
        <v>2050</v>
      </c>
      <c r="AG19" s="1311">
        <v>2010</v>
      </c>
      <c r="AH19" s="1309">
        <v>2020</v>
      </c>
      <c r="AI19" s="1309">
        <v>2030</v>
      </c>
      <c r="AJ19" s="1309">
        <v>2040</v>
      </c>
      <c r="AK19" s="1310">
        <v>2050</v>
      </c>
      <c r="AL19" s="899"/>
    </row>
    <row r="20" spans="1:55" ht="17.25" customHeight="1" thickBot="1" x14ac:dyDescent="0.3">
      <c r="B20" s="121" t="s">
        <v>445</v>
      </c>
      <c r="C20" s="1306">
        <f>(C9+C10+C12+C14+(C11+C17)*2.5+C16)/((SUM(C6:C12)++C14+C16+(C11+C17)*2.5))</f>
        <v>1.3216408829833812E-2</v>
      </c>
      <c r="D20" s="1307">
        <f>(D9+D10+D12+D14+(D11+D17)*2.5+D16)/((SUM(D6:D12)++D14+D16+(D11+D17)*2.5))</f>
        <v>8.445926183090334E-2</v>
      </c>
      <c r="E20" s="1307">
        <f>(E9+E10+E12+E14+(E11+E17)*2.5+E16)/((SUM(E6:E12)++E14+E16+(E11+E17)*2.5))</f>
        <v>8.6540135927173412E-2</v>
      </c>
      <c r="F20" s="1307">
        <f>(F9+F10+F12+F14+(F11+F17)*2.5+F16)/((SUM(F6:F12)++F14+F16+(F11+F17)*2.5))</f>
        <v>8.8726686281208861E-2</v>
      </c>
      <c r="G20" s="1308">
        <f>(G9+G10+G12+G14+(G11+G17)*2.5+G16)/((SUM(G6:G12)++G14+G16+(G11+G17)*2.5))</f>
        <v>9.082268768094863E-2</v>
      </c>
      <c r="I20" s="897"/>
      <c r="J20" s="931"/>
      <c r="K20" s="931"/>
      <c r="L20" s="19"/>
      <c r="M20" s="900"/>
      <c r="N20" s="19"/>
      <c r="O20" s="19"/>
      <c r="P20" s="19"/>
      <c r="AA20" s="122"/>
      <c r="AB20" s="43" t="s">
        <v>476</v>
      </c>
      <c r="AC20" s="43" t="s">
        <v>476</v>
      </c>
      <c r="AD20" s="43" t="s">
        <v>476</v>
      </c>
      <c r="AE20" s="43" t="s">
        <v>476</v>
      </c>
      <c r="AF20" s="46" t="s">
        <v>476</v>
      </c>
      <c r="AG20" s="65" t="s">
        <v>146</v>
      </c>
      <c r="AH20" s="42" t="s">
        <v>146</v>
      </c>
      <c r="AI20" s="42" t="s">
        <v>146</v>
      </c>
      <c r="AJ20" s="42" t="s">
        <v>146</v>
      </c>
      <c r="AK20" s="66" t="s">
        <v>146</v>
      </c>
      <c r="AL20" s="899"/>
    </row>
    <row r="21" spans="1:55" ht="16.5" thickBot="1" x14ac:dyDescent="0.3">
      <c r="C21" s="176"/>
      <c r="D21" s="176"/>
      <c r="E21" s="176"/>
      <c r="F21" s="176"/>
      <c r="G21" s="176"/>
      <c r="M21" s="900"/>
      <c r="N21" s="19"/>
      <c r="O21" s="19"/>
      <c r="P21" s="19"/>
      <c r="AA21" s="116" t="s">
        <v>477</v>
      </c>
      <c r="AB21" s="1316">
        <f>AB7</f>
        <v>39911</v>
      </c>
      <c r="AC21" s="1316">
        <f>AC7</f>
        <v>43220</v>
      </c>
      <c r="AD21" s="1316">
        <f>AD7</f>
        <v>45293</v>
      </c>
      <c r="AE21" s="1879">
        <f>AE7</f>
        <v>46108.5</v>
      </c>
      <c r="AF21" s="1316">
        <f>AF7</f>
        <v>46924</v>
      </c>
      <c r="AG21" s="283">
        <f t="shared" ref="AG21:AG29" si="8">(AB21+0.1)/($AB21+0.1)</f>
        <v>1</v>
      </c>
      <c r="AH21" s="284">
        <f t="shared" ref="AH21:AH29" si="9">(AC21+0.1)/($AB21+0.1)</f>
        <v>1.0829092658433368</v>
      </c>
      <c r="AI21" s="284">
        <f t="shared" ref="AI21:AI29" si="10">(AD21+0.1)/($AB21+0.1)</f>
        <v>1.134849703465953</v>
      </c>
      <c r="AJ21" s="284">
        <f t="shared" ref="AJ21:AJ29" si="11">(AE21+0.1)/($AB21+0.1)</f>
        <v>1.1552826156132003</v>
      </c>
      <c r="AK21" s="285">
        <f t="shared" ref="AK21:AK29" si="12">(AF21+0.1)/($AB21+0.1)</f>
        <v>1.1757155277604476</v>
      </c>
      <c r="AL21" s="899"/>
      <c r="AM21" s="956"/>
      <c r="AN21" s="956"/>
      <c r="AO21" s="956"/>
      <c r="AP21" s="956"/>
      <c r="AQ21" s="956"/>
      <c r="AR21" s="956"/>
      <c r="AS21" s="956"/>
      <c r="AT21" s="956"/>
      <c r="AU21" s="956"/>
      <c r="AV21" s="956"/>
      <c r="AW21" s="956"/>
      <c r="AX21" s="956"/>
      <c r="AY21" s="956"/>
      <c r="AZ21" s="956"/>
    </row>
    <row r="22" spans="1:55" ht="18.75" x14ac:dyDescent="0.3">
      <c r="B22" s="213" t="s">
        <v>149</v>
      </c>
      <c r="C22" s="921">
        <v>2010</v>
      </c>
      <c r="D22" s="922">
        <v>2020</v>
      </c>
      <c r="E22" s="922">
        <v>2030</v>
      </c>
      <c r="F22" s="922">
        <v>2040</v>
      </c>
      <c r="G22" s="923">
        <v>2050</v>
      </c>
      <c r="H22" s="100">
        <v>2010</v>
      </c>
      <c r="I22" s="929">
        <v>2020</v>
      </c>
      <c r="J22" s="929">
        <v>2030</v>
      </c>
      <c r="K22" s="929">
        <v>2040</v>
      </c>
      <c r="L22" s="930">
        <v>2050</v>
      </c>
      <c r="AA22" s="129" t="s">
        <v>367</v>
      </c>
      <c r="AB22" s="157">
        <f t="shared" ref="AB22:AF24" si="13">AB8</f>
        <v>32064.888156097979</v>
      </c>
      <c r="AC22" s="157">
        <f t="shared" si="13"/>
        <v>35631.326849959005</v>
      </c>
      <c r="AD22" s="157">
        <f t="shared" si="13"/>
        <v>39227.700696345884</v>
      </c>
      <c r="AE22" s="157">
        <f t="shared" si="13"/>
        <v>39742.267612833944</v>
      </c>
      <c r="AF22" s="157">
        <f t="shared" si="13"/>
        <v>40256.834529322005</v>
      </c>
      <c r="AG22" s="286">
        <f t="shared" si="8"/>
        <v>1</v>
      </c>
      <c r="AH22" s="287">
        <f t="shared" si="9"/>
        <v>1.1112253239108956</v>
      </c>
      <c r="AI22" s="287">
        <f t="shared" si="10"/>
        <v>1.2233842253543983</v>
      </c>
      <c r="AJ22" s="287">
        <f t="shared" si="11"/>
        <v>1.2394318506952549</v>
      </c>
      <c r="AK22" s="288">
        <f t="shared" si="12"/>
        <v>1.2554794760361112</v>
      </c>
      <c r="AL22" s="899"/>
    </row>
    <row r="23" spans="1:55" ht="16.5" thickBot="1" x14ac:dyDescent="0.3">
      <c r="B23" s="184" t="s">
        <v>31</v>
      </c>
      <c r="C23" s="924" t="s">
        <v>42</v>
      </c>
      <c r="D23" s="925" t="s">
        <v>42</v>
      </c>
      <c r="E23" s="925" t="s">
        <v>42</v>
      </c>
      <c r="F23" s="925" t="s">
        <v>42</v>
      </c>
      <c r="G23" s="926" t="s">
        <v>42</v>
      </c>
      <c r="H23" s="45" t="s">
        <v>146</v>
      </c>
      <c r="I23" s="43" t="s">
        <v>146</v>
      </c>
      <c r="J23" s="43" t="s">
        <v>146</v>
      </c>
      <c r="K23" s="43" t="s">
        <v>146</v>
      </c>
      <c r="L23" s="46" t="s">
        <v>146</v>
      </c>
      <c r="AA23" s="129" t="s">
        <v>369</v>
      </c>
      <c r="AB23" s="157">
        <f t="shared" si="13"/>
        <v>19450.760452184386</v>
      </c>
      <c r="AC23" s="157">
        <f t="shared" si="13"/>
        <v>21598.592633655244</v>
      </c>
      <c r="AD23" s="157">
        <f t="shared" si="13"/>
        <v>24147.197985700957</v>
      </c>
      <c r="AE23" s="157">
        <f t="shared" si="13"/>
        <v>24347.10326546523</v>
      </c>
      <c r="AF23" s="157">
        <f t="shared" si="13"/>
        <v>24547.008545229499</v>
      </c>
      <c r="AG23" s="286">
        <f t="shared" si="8"/>
        <v>1</v>
      </c>
      <c r="AH23" s="287">
        <f t="shared" si="9"/>
        <v>1.1104235047467861</v>
      </c>
      <c r="AI23" s="287">
        <f t="shared" si="10"/>
        <v>1.2414514023717211</v>
      </c>
      <c r="AJ23" s="287">
        <f t="shared" si="11"/>
        <v>1.2517288541202285</v>
      </c>
      <c r="AK23" s="288">
        <f t="shared" si="12"/>
        <v>1.2620063058687354</v>
      </c>
      <c r="AL23" s="899"/>
    </row>
    <row r="24" spans="1:55" ht="15.75" x14ac:dyDescent="0.25">
      <c r="B24" s="182" t="str">
        <f t="shared" ref="B24:B35" si="14">B6</f>
        <v>Petrol</v>
      </c>
      <c r="C24" s="1302">
        <f>'Scenarios technology'!AE56/1000</f>
        <v>65.127385710680542</v>
      </c>
      <c r="D24" s="1303">
        <f>'Scenarios technology'!AE196/1000</f>
        <v>60.28928421883829</v>
      </c>
      <c r="E24" s="1303">
        <f>'Scenarios technology'!AE336/1000</f>
        <v>55.942759300074052</v>
      </c>
      <c r="F24" s="1303">
        <f t="shared" ref="F24:F35" si="15">(E24+G24)/2</f>
        <v>47.52953788955859</v>
      </c>
      <c r="G24" s="1304">
        <f>'Scenarios technology'!AE476/1000</f>
        <v>39.116316479043128</v>
      </c>
      <c r="H24" s="283">
        <f>(C24+0.1)/($C24+0.1)</f>
        <v>1</v>
      </c>
      <c r="I24" s="284">
        <f t="shared" ref="I24:L35" si="16">(D24+0.1)/($C24+0.1)</f>
        <v>0.92582714393457533</v>
      </c>
      <c r="J24" s="284">
        <f t="shared" si="16"/>
        <v>0.85919064039534909</v>
      </c>
      <c r="K24" s="284">
        <f t="shared" si="16"/>
        <v>0.73020767842546819</v>
      </c>
      <c r="L24" s="285">
        <f t="shared" si="16"/>
        <v>0.60122471645558728</v>
      </c>
      <c r="AA24" s="129" t="s">
        <v>386</v>
      </c>
      <c r="AB24" s="157">
        <f t="shared" si="13"/>
        <v>0</v>
      </c>
      <c r="AC24" s="157">
        <f t="shared" si="13"/>
        <v>0</v>
      </c>
      <c r="AD24" s="157">
        <f t="shared" si="13"/>
        <v>0</v>
      </c>
      <c r="AE24" s="157">
        <f t="shared" si="13"/>
        <v>0</v>
      </c>
      <c r="AF24" s="157">
        <f t="shared" si="13"/>
        <v>0</v>
      </c>
      <c r="AG24" s="286">
        <f t="shared" si="8"/>
        <v>1</v>
      </c>
      <c r="AH24" s="287">
        <f t="shared" si="9"/>
        <v>1</v>
      </c>
      <c r="AI24" s="287">
        <f t="shared" si="10"/>
        <v>1</v>
      </c>
      <c r="AJ24" s="287">
        <f t="shared" si="11"/>
        <v>1</v>
      </c>
      <c r="AK24" s="288">
        <f t="shared" si="12"/>
        <v>1</v>
      </c>
      <c r="AL24" s="899"/>
    </row>
    <row r="25" spans="1:55" ht="15.75" x14ac:dyDescent="0.25">
      <c r="B25" s="177" t="str">
        <f t="shared" si="14"/>
        <v>Diesel</v>
      </c>
      <c r="C25" s="235">
        <f>'Scenarios technology'!AF56/1000</f>
        <v>40.472995670724366</v>
      </c>
      <c r="D25" s="300">
        <f>'Scenarios technology'!AF196/1000</f>
        <v>42.37179299978488</v>
      </c>
      <c r="E25" s="300">
        <f>'Scenarios technology'!AF336/1000</f>
        <v>51.287803721363666</v>
      </c>
      <c r="F25" s="300">
        <f t="shared" si="15"/>
        <v>65.960695853123212</v>
      </c>
      <c r="G25" s="236">
        <f>'Scenarios technology'!AF476/1000</f>
        <v>80.633587984882752</v>
      </c>
      <c r="H25" s="286">
        <f t="shared" ref="H25:H35" si="17">(C25+0.1)/($C25+0.1)</f>
        <v>1</v>
      </c>
      <c r="I25" s="287">
        <f t="shared" si="16"/>
        <v>1.046799534953506</v>
      </c>
      <c r="J25" s="287">
        <f t="shared" si="16"/>
        <v>1.2665518745129971</v>
      </c>
      <c r="K25" s="287">
        <f t="shared" si="16"/>
        <v>1.62819369782916</v>
      </c>
      <c r="L25" s="288">
        <f t="shared" si="16"/>
        <v>1.9898355211453227</v>
      </c>
      <c r="AA25" s="129" t="s">
        <v>441</v>
      </c>
      <c r="AB25" s="157">
        <v>0</v>
      </c>
      <c r="AC25" s="157">
        <f>AC11-$AB$11</f>
        <v>2176.3751369652982</v>
      </c>
      <c r="AD25" s="157">
        <f>AD11-$AB$11</f>
        <v>4673.4790820792259</v>
      </c>
      <c r="AE25" s="157">
        <f>AE11-$AB$11</f>
        <v>6212.2075737399973</v>
      </c>
      <c r="AF25" s="157">
        <f>AF11-$AB$11</f>
        <v>7750.9360654007651</v>
      </c>
      <c r="AG25" s="286">
        <f t="shared" si="8"/>
        <v>1</v>
      </c>
      <c r="AH25" s="287">
        <f t="shared" si="9"/>
        <v>21764.751369652979</v>
      </c>
      <c r="AI25" s="287">
        <f t="shared" si="10"/>
        <v>46735.790820792259</v>
      </c>
      <c r="AJ25" s="287">
        <f t="shared" si="11"/>
        <v>62123.075737399973</v>
      </c>
      <c r="AK25" s="288">
        <f t="shared" si="12"/>
        <v>77510.360654007643</v>
      </c>
      <c r="AL25" s="899"/>
    </row>
    <row r="26" spans="1:55" ht="15.75" x14ac:dyDescent="0.25">
      <c r="B26" s="177" t="str">
        <f t="shared" si="14"/>
        <v>Jet-fuel fossil</v>
      </c>
      <c r="C26" s="235">
        <f>'Scenarios technology'!AG56/1000</f>
        <v>26.689175738372644</v>
      </c>
      <c r="D26" s="300">
        <f>'Scenarios technology'!AG196/1000</f>
        <v>33.40940022420309</v>
      </c>
      <c r="E26" s="300">
        <f>'Scenarios technology'!AG336/1000</f>
        <v>36.331487865090637</v>
      </c>
      <c r="F26" s="300">
        <f t="shared" si="15"/>
        <v>34.339680266271827</v>
      </c>
      <c r="G26" s="236">
        <f>'Scenarios technology'!AG476/1000</f>
        <v>32.347872667453018</v>
      </c>
      <c r="H26" s="286">
        <f t="shared" si="17"/>
        <v>1</v>
      </c>
      <c r="I26" s="287">
        <f t="shared" si="16"/>
        <v>1.250855963298805</v>
      </c>
      <c r="J26" s="287">
        <f t="shared" si="16"/>
        <v>1.3599331394473031</v>
      </c>
      <c r="K26" s="287">
        <f t="shared" si="16"/>
        <v>1.2855819306504697</v>
      </c>
      <c r="L26" s="288">
        <f t="shared" si="16"/>
        <v>1.2112307218536362</v>
      </c>
      <c r="AA26" s="129" t="s">
        <v>373</v>
      </c>
      <c r="AB26" s="157">
        <v>0</v>
      </c>
      <c r="AC26" s="157">
        <f>AC12-$AB$12</f>
        <v>7914.16863119972</v>
      </c>
      <c r="AD26" s="157">
        <f>AD12-$AB$12</f>
        <v>7843.5643084721687</v>
      </c>
      <c r="AE26" s="157">
        <f>AE12-$AB$12</f>
        <v>5716.1632708168345</v>
      </c>
      <c r="AF26" s="157">
        <f>AF12-$AB$12</f>
        <v>4774.2479964065042</v>
      </c>
      <c r="AG26" s="286">
        <f t="shared" si="8"/>
        <v>1</v>
      </c>
      <c r="AH26" s="287">
        <f t="shared" si="9"/>
        <v>79142.686311997197</v>
      </c>
      <c r="AI26" s="287">
        <f t="shared" si="10"/>
        <v>78436.643084721683</v>
      </c>
      <c r="AJ26" s="287">
        <f t="shared" si="11"/>
        <v>57162.632708168348</v>
      </c>
      <c r="AK26" s="288">
        <f t="shared" si="12"/>
        <v>47743.479964065045</v>
      </c>
      <c r="AL26" s="899"/>
    </row>
    <row r="27" spans="1:55" ht="15.75" x14ac:dyDescent="0.25">
      <c r="B27" s="177" t="str">
        <f t="shared" si="14"/>
        <v>Biogas</v>
      </c>
      <c r="C27" s="235">
        <f>'Scenarios technology'!AL56/1000</f>
        <v>0</v>
      </c>
      <c r="D27" s="300">
        <f>'Scenarios technology'!AL196/1000</f>
        <v>0</v>
      </c>
      <c r="E27" s="300">
        <f>'Scenarios technology'!AL336/1000</f>
        <v>0</v>
      </c>
      <c r="F27" s="300">
        <f t="shared" si="15"/>
        <v>0</v>
      </c>
      <c r="G27" s="236">
        <f>'Scenarios technology'!AL476/1000</f>
        <v>0</v>
      </c>
      <c r="H27" s="286">
        <f t="shared" si="17"/>
        <v>1</v>
      </c>
      <c r="I27" s="287">
        <f t="shared" si="16"/>
        <v>1</v>
      </c>
      <c r="J27" s="287">
        <f t="shared" si="16"/>
        <v>1</v>
      </c>
      <c r="K27" s="287">
        <f t="shared" si="16"/>
        <v>1</v>
      </c>
      <c r="L27" s="288">
        <f t="shared" si="16"/>
        <v>1</v>
      </c>
      <c r="AA27" s="129" t="s">
        <v>442</v>
      </c>
      <c r="AB27" s="157">
        <v>0</v>
      </c>
      <c r="AC27" s="157">
        <f>AC13-$AB$13</f>
        <v>74.089652007564382</v>
      </c>
      <c r="AD27" s="157">
        <f>AD13-$AB$13</f>
        <v>488.33263189630043</v>
      </c>
      <c r="AE27" s="157">
        <f>AE13-$AB$13</f>
        <v>531.57806341683636</v>
      </c>
      <c r="AF27" s="157">
        <f>AF13-$AB$13</f>
        <v>574.82349493737229</v>
      </c>
      <c r="AG27" s="286">
        <f t="shared" si="8"/>
        <v>1</v>
      </c>
      <c r="AH27" s="287">
        <f t="shared" si="9"/>
        <v>741.89652007564371</v>
      </c>
      <c r="AI27" s="287">
        <f t="shared" si="10"/>
        <v>4884.3263189630043</v>
      </c>
      <c r="AJ27" s="287">
        <f t="shared" si="11"/>
        <v>5316.7806341683636</v>
      </c>
      <c r="AK27" s="288">
        <f t="shared" si="12"/>
        <v>5749.2349493737229</v>
      </c>
      <c r="AL27" s="899"/>
    </row>
    <row r="28" spans="1:55" ht="15.75" x14ac:dyDescent="0.25">
      <c r="B28" s="177" t="str">
        <f t="shared" si="14"/>
        <v>Bioethanol</v>
      </c>
      <c r="C28" s="235">
        <f>'Scenarios technology'!AJ56/1000</f>
        <v>0.22948338869161566</v>
      </c>
      <c r="D28" s="300">
        <f>'Scenarios technology'!AJ196/1000</f>
        <v>2.794862813306898</v>
      </c>
      <c r="E28" s="300">
        <f>'Scenarios technology'!AJ336/1000</f>
        <v>2.9603584889056966</v>
      </c>
      <c r="F28" s="300">
        <f>(E28+G28)/2</f>
        <v>3.1570031932974372</v>
      </c>
      <c r="G28" s="236">
        <f>'Scenarios technology'!AJ476/1000</f>
        <v>3.3536478976891777</v>
      </c>
      <c r="H28" s="286">
        <f t="shared" si="17"/>
        <v>1</v>
      </c>
      <c r="I28" s="287">
        <f t="shared" si="16"/>
        <v>8.7860660435794635</v>
      </c>
      <c r="J28" s="287">
        <f t="shared" si="16"/>
        <v>9.2883544176792476</v>
      </c>
      <c r="K28" s="287">
        <f t="shared" si="16"/>
        <v>9.8851817878620665</v>
      </c>
      <c r="L28" s="288">
        <f t="shared" si="16"/>
        <v>10.482009158044885</v>
      </c>
      <c r="AA28" s="129" t="s">
        <v>376</v>
      </c>
      <c r="AB28" s="157">
        <v>0</v>
      </c>
      <c r="AC28" s="157">
        <f>AC14-$AB$14</f>
        <v>1212.3929909603521</v>
      </c>
      <c r="AD28" s="157">
        <f>AD14-$AB$14</f>
        <v>2725.5663430583591</v>
      </c>
      <c r="AE28" s="157">
        <f>AE14-$AB$14</f>
        <v>3032.332159874717</v>
      </c>
      <c r="AF28" s="157">
        <f>AF14-$AB$14</f>
        <v>3759.6866768745749</v>
      </c>
      <c r="AG28" s="286">
        <f t="shared" si="8"/>
        <v>1</v>
      </c>
      <c r="AH28" s="287">
        <f t="shared" si="9"/>
        <v>12124.929909603519</v>
      </c>
      <c r="AI28" s="287">
        <f t="shared" si="10"/>
        <v>27256.663430583587</v>
      </c>
      <c r="AJ28" s="287">
        <f t="shared" si="11"/>
        <v>30324.321598747167</v>
      </c>
      <c r="AK28" s="288">
        <f t="shared" si="12"/>
        <v>37597.866768745749</v>
      </c>
      <c r="AL28" s="899"/>
    </row>
    <row r="29" spans="1:55" ht="16.5" thickBot="1" x14ac:dyDescent="0.3">
      <c r="B29" s="177" t="str">
        <f t="shared" si="14"/>
        <v>Biodiesel</v>
      </c>
      <c r="C29" s="1562">
        <f>'Scenarios technology'!AK56/1000</f>
        <v>0.27428441317461472</v>
      </c>
      <c r="D29" s="1563">
        <f>'Scenarios technology'!AK196/1000</f>
        <v>3.2852872233187731</v>
      </c>
      <c r="E29" s="1563">
        <f>'Scenarios technology'!AK336/1000</f>
        <v>3.4151033889827955</v>
      </c>
      <c r="F29" s="1563">
        <f>(E29+G29)/2</f>
        <v>3.5995424090720674</v>
      </c>
      <c r="G29" s="1564">
        <f>'Scenarios technology'!AK476/1000</f>
        <v>3.7839814291613396</v>
      </c>
      <c r="H29" s="286">
        <f>(C29+0.1)/($C29+0.1)</f>
        <v>1</v>
      </c>
      <c r="I29" s="287">
        <f>(D29+0.1)/($C29+0.1)</f>
        <v>9.044691961937076</v>
      </c>
      <c r="J29" s="287">
        <f>(E29+0.1)/($C29+0.1)</f>
        <v>9.3915302514692129</v>
      </c>
      <c r="K29" s="287">
        <f>(F29+0.1)/($C29+0.1)</f>
        <v>9.8843079723603715</v>
      </c>
      <c r="L29" s="288">
        <f>(G29+0.1)/($C29+0.1)</f>
        <v>10.377085693251534</v>
      </c>
      <c r="AA29" s="129" t="s">
        <v>111</v>
      </c>
      <c r="AB29" s="157"/>
      <c r="AC29" s="157"/>
      <c r="AD29" s="157"/>
      <c r="AE29" s="157"/>
      <c r="AF29" s="157"/>
      <c r="AG29" s="286">
        <f t="shared" si="8"/>
        <v>1</v>
      </c>
      <c r="AH29" s="287">
        <f t="shared" si="9"/>
        <v>1</v>
      </c>
      <c r="AI29" s="287">
        <f t="shared" si="10"/>
        <v>1</v>
      </c>
      <c r="AJ29" s="287">
        <f t="shared" si="11"/>
        <v>1</v>
      </c>
      <c r="AK29" s="288">
        <f t="shared" si="12"/>
        <v>1</v>
      </c>
      <c r="AL29" s="899"/>
      <c r="BA29" s="891"/>
      <c r="BB29" s="891"/>
      <c r="BC29" s="891"/>
    </row>
    <row r="30" spans="1:55" ht="16.5" thickBot="1" x14ac:dyDescent="0.3">
      <c r="B30" s="177" t="str">
        <f t="shared" si="14"/>
        <v>Bio-methanol</v>
      </c>
      <c r="C30" s="235">
        <f>'Scenarios technology'!AI56/1000</f>
        <v>0</v>
      </c>
      <c r="D30" s="300">
        <f>'Scenarios technology'!AI196/1000</f>
        <v>0</v>
      </c>
      <c r="E30" s="300">
        <f>'Scenarios technology'!AI336/1000</f>
        <v>0</v>
      </c>
      <c r="F30" s="300">
        <f>(E30+G30)/2</f>
        <v>0</v>
      </c>
      <c r="G30" s="236">
        <f>'Scenarios technology'!AI476/1000</f>
        <v>0</v>
      </c>
      <c r="H30" s="286">
        <f t="shared" si="17"/>
        <v>1</v>
      </c>
      <c r="I30" s="287">
        <f t="shared" si="16"/>
        <v>1</v>
      </c>
      <c r="J30" s="287">
        <f t="shared" si="16"/>
        <v>1</v>
      </c>
      <c r="K30" s="287">
        <f t="shared" si="16"/>
        <v>1</v>
      </c>
      <c r="L30" s="288">
        <f t="shared" si="16"/>
        <v>1</v>
      </c>
      <c r="AA30" s="181" t="s">
        <v>0</v>
      </c>
      <c r="AB30" s="188">
        <f>SUM(AB21:AB29)</f>
        <v>91426.648608282369</v>
      </c>
      <c r="AC30" s="189">
        <f>SUM(AC21:AC29)</f>
        <v>111826.94589474717</v>
      </c>
      <c r="AD30" s="189">
        <f>SUM(AD21:AD29)</f>
        <v>124398.84104755288</v>
      </c>
      <c r="AE30" s="189">
        <f>SUM(AE21:AE29)</f>
        <v>125690.15194614755</v>
      </c>
      <c r="AF30" s="190">
        <f>SUM(AF21:AF29)</f>
        <v>128587.53730817072</v>
      </c>
      <c r="AG30" s="940">
        <v>1</v>
      </c>
      <c r="AH30" s="941">
        <f>AC30/$AB30</f>
        <v>1.2231329442455001</v>
      </c>
      <c r="AI30" s="941">
        <f>AD30/$AB30</f>
        <v>1.3606409393889076</v>
      </c>
      <c r="AJ30" s="279">
        <f>AE30/$AB30</f>
        <v>1.3747649493821787</v>
      </c>
      <c r="AK30" s="942">
        <f>AF30/$AB30</f>
        <v>1.4064557682640675</v>
      </c>
      <c r="AL30" s="899"/>
      <c r="BA30" s="891"/>
      <c r="BB30" s="891"/>
    </row>
    <row r="31" spans="1:55" ht="16.5" thickBot="1" x14ac:dyDescent="0.3">
      <c r="B31" s="177" t="str">
        <f t="shared" si="14"/>
        <v>Bio-jetfuel</v>
      </c>
      <c r="C31" s="235">
        <f>'Scenarios technology'!AM56/1000</f>
        <v>0</v>
      </c>
      <c r="D31" s="300">
        <f>'Scenarios technology'!AM196/1000</f>
        <v>0</v>
      </c>
      <c r="E31" s="300">
        <f>'Scenarios technology'!AM336/1000</f>
        <v>0</v>
      </c>
      <c r="F31" s="300">
        <f t="shared" si="15"/>
        <v>0</v>
      </c>
      <c r="G31" s="236">
        <f>'Scenarios technology'!AM476/1000</f>
        <v>0</v>
      </c>
      <c r="H31" s="286">
        <f t="shared" si="17"/>
        <v>1</v>
      </c>
      <c r="I31" s="287">
        <f t="shared" si="16"/>
        <v>1</v>
      </c>
      <c r="J31" s="287">
        <f t="shared" si="16"/>
        <v>1</v>
      </c>
      <c r="K31" s="287">
        <f t="shared" si="16"/>
        <v>1</v>
      </c>
      <c r="L31" s="288">
        <f t="shared" si="16"/>
        <v>1</v>
      </c>
      <c r="AA31" s="157"/>
      <c r="AB31" s="157"/>
      <c r="AC31" s="157"/>
      <c r="AD31" s="157"/>
      <c r="AE31" s="157"/>
      <c r="AF31" s="157"/>
      <c r="AG31" s="956"/>
      <c r="AH31" s="1298"/>
      <c r="AI31" s="956"/>
      <c r="AJ31" s="956"/>
      <c r="AK31" s="956"/>
      <c r="AL31" s="899"/>
      <c r="AM31" s="956"/>
      <c r="AN31" s="956"/>
      <c r="AO31" s="956"/>
      <c r="AP31" s="956"/>
      <c r="AQ31" s="956"/>
      <c r="AR31" s="956"/>
      <c r="AS31" s="956"/>
      <c r="AT31" s="956"/>
      <c r="AU31" s="956"/>
      <c r="AV31" s="956"/>
      <c r="AW31" s="956"/>
      <c r="AX31" s="956"/>
      <c r="AY31" s="956"/>
      <c r="AZ31" s="956"/>
      <c r="BA31" s="891"/>
      <c r="BB31" s="891"/>
    </row>
    <row r="32" spans="1:55" ht="16.5" thickBot="1" x14ac:dyDescent="0.3">
      <c r="B32" s="177" t="str">
        <f t="shared" si="14"/>
        <v>Syn-methanol</v>
      </c>
      <c r="C32" s="235">
        <f>'Scenarios technology'!AH56/1000</f>
        <v>0</v>
      </c>
      <c r="D32" s="300">
        <f>'Scenarios technology'!AH196/1000</f>
        <v>0</v>
      </c>
      <c r="E32" s="300">
        <f>'Scenarios technology'!AH336/1000</f>
        <v>0</v>
      </c>
      <c r="F32" s="300">
        <f>(E32+G32)/2</f>
        <v>0</v>
      </c>
      <c r="G32" s="236">
        <f>'Scenarios technology'!AH476/1000</f>
        <v>0</v>
      </c>
      <c r="H32" s="286">
        <f t="shared" si="17"/>
        <v>1</v>
      </c>
      <c r="I32" s="287">
        <f t="shared" si="16"/>
        <v>1</v>
      </c>
      <c r="J32" s="287">
        <f t="shared" si="16"/>
        <v>1</v>
      </c>
      <c r="K32" s="287">
        <f t="shared" si="16"/>
        <v>1</v>
      </c>
      <c r="L32" s="288">
        <f t="shared" si="16"/>
        <v>1</v>
      </c>
      <c r="AA32" s="185" t="s">
        <v>479</v>
      </c>
      <c r="AB32" s="1314"/>
      <c r="AC32" s="1314"/>
      <c r="AD32" s="1314"/>
      <c r="AE32" s="1314"/>
      <c r="AF32" s="1314"/>
      <c r="AG32" s="1314"/>
      <c r="AH32" s="1314"/>
      <c r="AI32" s="1314"/>
      <c r="AJ32" s="1314"/>
      <c r="AK32" s="1315"/>
      <c r="AL32" s="899"/>
      <c r="BA32" s="891"/>
      <c r="BB32" s="891"/>
    </row>
    <row r="33" spans="2:54" ht="18.75" x14ac:dyDescent="0.3">
      <c r="B33" s="177" t="str">
        <f t="shared" si="14"/>
        <v>Syn-jetfuel</v>
      </c>
      <c r="C33" s="235">
        <f>'Scenarios technology'!AQ56/1000</f>
        <v>0</v>
      </c>
      <c r="D33" s="300">
        <f>'Scenarios technology'!AQ196/1000</f>
        <v>0</v>
      </c>
      <c r="E33" s="300">
        <f>'Scenarios technology'!AQ336/1000</f>
        <v>0</v>
      </c>
      <c r="F33" s="300">
        <f>(E33+G33)/2</f>
        <v>0</v>
      </c>
      <c r="G33" s="236">
        <f>'Scenarios technology'!AQ476/1000</f>
        <v>0</v>
      </c>
      <c r="H33" s="286">
        <f t="shared" si="17"/>
        <v>1</v>
      </c>
      <c r="I33" s="287">
        <f t="shared" si="16"/>
        <v>1</v>
      </c>
      <c r="J33" s="287">
        <f t="shared" si="16"/>
        <v>1</v>
      </c>
      <c r="K33" s="287">
        <f t="shared" si="16"/>
        <v>1</v>
      </c>
      <c r="L33" s="288">
        <f t="shared" si="16"/>
        <v>1</v>
      </c>
      <c r="AA33" s="1299" t="str">
        <f t="shared" ref="AA33:AF33" si="18">AA5</f>
        <v>Annual costs (DKK/y)</v>
      </c>
      <c r="AB33" s="1296">
        <f t="shared" si="18"/>
        <v>2010</v>
      </c>
      <c r="AC33" s="1296">
        <f t="shared" si="18"/>
        <v>2020</v>
      </c>
      <c r="AD33" s="1296">
        <f t="shared" si="18"/>
        <v>2030</v>
      </c>
      <c r="AE33" s="1296">
        <f t="shared" si="18"/>
        <v>2040</v>
      </c>
      <c r="AF33" s="1297">
        <f t="shared" si="18"/>
        <v>2050</v>
      </c>
      <c r="AG33" s="1311">
        <v>2010</v>
      </c>
      <c r="AH33" s="1309">
        <v>2020</v>
      </c>
      <c r="AI33" s="1309">
        <v>2030</v>
      </c>
      <c r="AJ33" s="1309">
        <v>2040</v>
      </c>
      <c r="AK33" s="1310">
        <v>2050</v>
      </c>
      <c r="AL33" s="899"/>
      <c r="BA33" s="891"/>
      <c r="BB33" s="891"/>
    </row>
    <row r="34" spans="2:54" ht="16.5" thickBot="1" x14ac:dyDescent="0.3">
      <c r="B34" s="177" t="str">
        <f t="shared" si="14"/>
        <v>Electricity Train / bus</v>
      </c>
      <c r="C34" s="1562">
        <f>'Scenarios technology'!AP56/1000</f>
        <v>1.2884448444444443</v>
      </c>
      <c r="D34" s="1563">
        <f>'Scenarios technology'!AP196/1000</f>
        <v>2.4188278446952092</v>
      </c>
      <c r="E34" s="1563">
        <f>'Scenarios technology'!AP336/1000</f>
        <v>2.8326932118478378</v>
      </c>
      <c r="F34" s="1563">
        <f>(E34+G34)/2</f>
        <v>2.8685255252994484</v>
      </c>
      <c r="G34" s="1564">
        <f>'Scenarios technology'!AP476/1000</f>
        <v>2.9043578387510589</v>
      </c>
      <c r="H34" s="286">
        <f t="shared" si="17"/>
        <v>1</v>
      </c>
      <c r="I34" s="287">
        <f t="shared" si="16"/>
        <v>1.8141360492451271</v>
      </c>
      <c r="J34" s="287">
        <f t="shared" si="16"/>
        <v>2.1122144128247964</v>
      </c>
      <c r="K34" s="287">
        <f t="shared" si="16"/>
        <v>2.1380219294827216</v>
      </c>
      <c r="L34" s="288">
        <f t="shared" si="16"/>
        <v>2.1638294461406469</v>
      </c>
      <c r="AA34" s="122"/>
      <c r="AB34" s="43"/>
      <c r="AC34" s="43"/>
      <c r="AD34" s="43"/>
      <c r="AE34" s="43"/>
      <c r="AF34" s="46"/>
      <c r="AG34" s="65" t="s">
        <v>146</v>
      </c>
      <c r="AH34" s="42" t="s">
        <v>146</v>
      </c>
      <c r="AI34" s="42" t="s">
        <v>146</v>
      </c>
      <c r="AJ34" s="42" t="s">
        <v>146</v>
      </c>
      <c r="AK34" s="66" t="s">
        <v>146</v>
      </c>
      <c r="AL34" s="899"/>
      <c r="AM34" s="956"/>
      <c r="AN34" s="956"/>
      <c r="AO34" s="956"/>
      <c r="AP34" s="956"/>
      <c r="AQ34" s="956"/>
      <c r="AR34" s="956"/>
      <c r="AS34" s="956"/>
      <c r="AT34" s="956"/>
      <c r="AU34" s="956"/>
      <c r="AV34" s="956"/>
      <c r="AW34" s="956"/>
      <c r="AX34" s="956"/>
      <c r="AY34" s="956"/>
      <c r="AZ34" s="956"/>
      <c r="BA34" s="176"/>
      <c r="BB34" s="176"/>
    </row>
    <row r="35" spans="2:54" ht="16.5" thickBot="1" x14ac:dyDescent="0.3">
      <c r="B35" s="177" t="str">
        <f t="shared" si="14"/>
        <v>Electricity BEV + Plug-in-hybrid</v>
      </c>
      <c r="C35" s="1562">
        <f>'Scenarios technology'!AN56/1000+'Scenarios technology'!AO56/1000</f>
        <v>0</v>
      </c>
      <c r="D35" s="1563">
        <f>'Scenarios technology'!AN196/1000+'Scenarios technology'!AO196/1000</f>
        <v>0</v>
      </c>
      <c r="E35" s="1563">
        <f>'Scenarios technology'!AN336/1000+'Scenarios technology'!AO336/1000</f>
        <v>0</v>
      </c>
      <c r="F35" s="1563">
        <f t="shared" si="15"/>
        <v>0</v>
      </c>
      <c r="G35" s="1564">
        <f>'Scenarios technology'!AN476/1000+'Scenarios technology'!AO476/1000</f>
        <v>0</v>
      </c>
      <c r="H35" s="934">
        <f t="shared" si="17"/>
        <v>1</v>
      </c>
      <c r="I35" s="935">
        <f t="shared" si="16"/>
        <v>1</v>
      </c>
      <c r="J35" s="935">
        <f t="shared" si="16"/>
        <v>1</v>
      </c>
      <c r="K35" s="935">
        <f t="shared" si="16"/>
        <v>1</v>
      </c>
      <c r="L35" s="936">
        <f t="shared" si="16"/>
        <v>1</v>
      </c>
      <c r="AA35" s="116" t="s">
        <v>440</v>
      </c>
      <c r="AB35" s="1878"/>
      <c r="AC35" s="1878"/>
      <c r="AD35" s="1878"/>
      <c r="AE35" s="1878"/>
      <c r="AF35" s="1878"/>
      <c r="AG35" s="283">
        <f t="shared" ref="AG35:AG43" si="19">(AB35+0.1)/($AB35+0.1)</f>
        <v>1</v>
      </c>
      <c r="AH35" s="284">
        <f t="shared" ref="AH35:AH43" si="20">(AC35+0.1)/($AB35+0.1)</f>
        <v>1</v>
      </c>
      <c r="AI35" s="284">
        <f t="shared" ref="AI35:AI43" si="21">(AD35+0.1)/($AB35+0.1)</f>
        <v>1</v>
      </c>
      <c r="AJ35" s="284">
        <f t="shared" ref="AJ35:AJ43" si="22">(AE35+0.1)/($AB35+0.1)</f>
        <v>1</v>
      </c>
      <c r="AK35" s="285">
        <f t="shared" ref="AK35:AK43" si="23">(AF35+0.1)/($AB35+0.1)</f>
        <v>1</v>
      </c>
      <c r="AL35" s="1892" t="s">
        <v>521</v>
      </c>
      <c r="AM35" s="1893"/>
      <c r="BA35" s="176"/>
      <c r="BB35" s="176"/>
    </row>
    <row r="36" spans="2:54" ht="16.5" thickBot="1" x14ac:dyDescent="0.3">
      <c r="B36" s="185" t="s">
        <v>60</v>
      </c>
      <c r="C36" s="1300">
        <f>SUM(C24:C35)</f>
        <v>134.08176976608826</v>
      </c>
      <c r="D36" s="1301">
        <f>SUM(D24:D35)</f>
        <v>144.56945532414716</v>
      </c>
      <c r="E36" s="1301">
        <f>SUM(E24:E35)</f>
        <v>152.77020597626469</v>
      </c>
      <c r="F36" s="1301">
        <f>SUM(F24:F35)</f>
        <v>157.45498513662255</v>
      </c>
      <c r="G36" s="1301">
        <f>SUM(G24:G35)</f>
        <v>162.13976429698047</v>
      </c>
      <c r="H36" s="289">
        <f>C36/$C36</f>
        <v>1</v>
      </c>
      <c r="I36" s="279">
        <f>D36/$C36</f>
        <v>1.0782185794262347</v>
      </c>
      <c r="J36" s="279">
        <f>E36/$C36</f>
        <v>1.1393808885635925</v>
      </c>
      <c r="K36" s="279">
        <f>F36/$C36</f>
        <v>1.1743206060847045</v>
      </c>
      <c r="L36" s="290">
        <f>G36/$C36</f>
        <v>1.2092603236058166</v>
      </c>
      <c r="AA36" s="129" t="str">
        <f t="shared" ref="AA36:AF38" si="24">AA8</f>
        <v>Vehicle</v>
      </c>
      <c r="AB36" s="157">
        <f t="shared" si="24"/>
        <v>32064.888156097979</v>
      </c>
      <c r="AC36" s="157">
        <f t="shared" si="24"/>
        <v>35631.326849959005</v>
      </c>
      <c r="AD36" s="157">
        <f t="shared" si="24"/>
        <v>39227.700696345884</v>
      </c>
      <c r="AE36" s="157">
        <f t="shared" si="24"/>
        <v>39742.267612833944</v>
      </c>
      <c r="AF36" s="157">
        <f t="shared" si="24"/>
        <v>40256.834529322005</v>
      </c>
      <c r="AG36" s="286">
        <f t="shared" si="19"/>
        <v>1</v>
      </c>
      <c r="AH36" s="287">
        <f t="shared" si="20"/>
        <v>1.1112253239108956</v>
      </c>
      <c r="AI36" s="287">
        <f t="shared" si="21"/>
        <v>1.2233842253543983</v>
      </c>
      <c r="AJ36" s="287">
        <f t="shared" si="22"/>
        <v>1.2394318506952549</v>
      </c>
      <c r="AK36" s="288">
        <f t="shared" si="23"/>
        <v>1.2554794760361112</v>
      </c>
      <c r="AL36" s="1892"/>
      <c r="AM36" s="1893"/>
      <c r="BA36" s="176"/>
      <c r="BB36" s="176"/>
    </row>
    <row r="37" spans="2:54" ht="15.75" x14ac:dyDescent="0.25">
      <c r="C37" s="176"/>
      <c r="D37" s="176"/>
      <c r="E37" s="176"/>
      <c r="F37" s="176"/>
      <c r="G37" s="176"/>
      <c r="H37" s="19"/>
      <c r="J37" s="931"/>
      <c r="K37" s="931"/>
      <c r="AA37" s="129" t="str">
        <f t="shared" si="24"/>
        <v>Vehicle O&amp;M</v>
      </c>
      <c r="AB37" s="157">
        <f t="shared" si="24"/>
        <v>19450.760452184386</v>
      </c>
      <c r="AC37" s="157">
        <f t="shared" si="24"/>
        <v>21598.592633655244</v>
      </c>
      <c r="AD37" s="157">
        <f t="shared" si="24"/>
        <v>24147.197985700957</v>
      </c>
      <c r="AE37" s="157">
        <f t="shared" si="24"/>
        <v>24347.10326546523</v>
      </c>
      <c r="AF37" s="157">
        <f t="shared" si="24"/>
        <v>24547.008545229499</v>
      </c>
      <c r="AG37" s="286">
        <f t="shared" si="19"/>
        <v>1</v>
      </c>
      <c r="AH37" s="287">
        <f t="shared" si="20"/>
        <v>1.1104235047467861</v>
      </c>
      <c r="AI37" s="287">
        <f t="shared" si="21"/>
        <v>1.2414514023717211</v>
      </c>
      <c r="AJ37" s="287">
        <f t="shared" si="22"/>
        <v>1.2517288541202285</v>
      </c>
      <c r="AK37" s="288">
        <f t="shared" si="23"/>
        <v>1.2620063058687354</v>
      </c>
      <c r="AL37" s="1892"/>
      <c r="AM37" s="1893"/>
      <c r="BA37" s="176"/>
      <c r="BB37" s="176"/>
    </row>
    <row r="38" spans="2:54" ht="15.75" x14ac:dyDescent="0.25">
      <c r="C38" s="176"/>
      <c r="D38" s="176"/>
      <c r="E38" s="176"/>
      <c r="F38" s="176"/>
      <c r="G38" s="176"/>
      <c r="AA38" s="129" t="str">
        <f t="shared" si="24"/>
        <v>EV Charging stations</v>
      </c>
      <c r="AB38" s="157">
        <f t="shared" si="24"/>
        <v>0</v>
      </c>
      <c r="AC38" s="157">
        <f t="shared" si="24"/>
        <v>0</v>
      </c>
      <c r="AD38" s="157">
        <f t="shared" si="24"/>
        <v>0</v>
      </c>
      <c r="AE38" s="157">
        <f t="shared" si="24"/>
        <v>0</v>
      </c>
      <c r="AF38" s="157">
        <f t="shared" si="24"/>
        <v>0</v>
      </c>
      <c r="AG38" s="286">
        <f t="shared" si="19"/>
        <v>1</v>
      </c>
      <c r="AH38" s="287">
        <f t="shared" si="20"/>
        <v>1</v>
      </c>
      <c r="AI38" s="287">
        <f t="shared" si="21"/>
        <v>1</v>
      </c>
      <c r="AJ38" s="287">
        <f t="shared" si="22"/>
        <v>1</v>
      </c>
      <c r="AK38" s="288">
        <f t="shared" si="23"/>
        <v>1</v>
      </c>
      <c r="AL38" s="899"/>
      <c r="BA38" s="176"/>
      <c r="BB38" s="176"/>
    </row>
    <row r="39" spans="2:54" ht="16.5" thickBot="1" x14ac:dyDescent="0.3">
      <c r="C39" s="176"/>
      <c r="D39" s="176"/>
      <c r="E39" s="176"/>
      <c r="F39" s="176"/>
      <c r="G39" s="176"/>
      <c r="AA39" s="129" t="s">
        <v>441</v>
      </c>
      <c r="AB39" s="157">
        <f>'Growth, Modal Shift, InfraCosts'!D166</f>
        <v>8231.2568206799442</v>
      </c>
      <c r="AC39" s="157">
        <f>'Growth, Modal Shift, InfraCosts'!E166</f>
        <v>10407.631957645241</v>
      </c>
      <c r="AD39" s="157">
        <f>'Growth, Modal Shift, InfraCosts'!F166</f>
        <v>12904.735902759172</v>
      </c>
      <c r="AE39" s="157">
        <f>'Growth, Modal Shift, InfraCosts'!G166</f>
        <v>14443.46439441994</v>
      </c>
      <c r="AF39" s="157">
        <f>'Growth, Modal Shift, InfraCosts'!H166</f>
        <v>15982.192886080711</v>
      </c>
      <c r="AG39" s="286">
        <f t="shared" si="19"/>
        <v>1</v>
      </c>
      <c r="AH39" s="287">
        <f t="shared" si="20"/>
        <v>1.2644005337610329</v>
      </c>
      <c r="AI39" s="287">
        <f t="shared" si="21"/>
        <v>1.5677653373424261</v>
      </c>
      <c r="AJ39" s="287">
        <f t="shared" si="22"/>
        <v>1.7547003135780526</v>
      </c>
      <c r="AK39" s="288">
        <f t="shared" si="23"/>
        <v>1.9416352898136795</v>
      </c>
      <c r="AL39" s="899"/>
      <c r="BA39" s="176"/>
      <c r="BB39" s="176"/>
    </row>
    <row r="40" spans="2:54" ht="18.75" x14ac:dyDescent="0.3">
      <c r="B40" s="213" t="s">
        <v>149</v>
      </c>
      <c r="C40" s="921">
        <v>2010</v>
      </c>
      <c r="D40" s="922">
        <v>2020</v>
      </c>
      <c r="E40" s="922">
        <v>2030</v>
      </c>
      <c r="F40" s="922">
        <v>2040</v>
      </c>
      <c r="G40" s="923">
        <v>2050</v>
      </c>
      <c r="H40" s="100">
        <v>2010</v>
      </c>
      <c r="I40" s="929">
        <v>2020</v>
      </c>
      <c r="J40" s="929">
        <v>2030</v>
      </c>
      <c r="K40" s="929">
        <v>2040</v>
      </c>
      <c r="L40" s="930">
        <v>2050</v>
      </c>
      <c r="AA40" s="129" t="s">
        <v>373</v>
      </c>
      <c r="AB40" s="157">
        <f>+'Growth, Modal Shift, InfraCosts'!D167</f>
        <v>11229.796124168073</v>
      </c>
      <c r="AC40" s="157">
        <f>+'Growth, Modal Shift, InfraCosts'!E167</f>
        <v>19143.964755367793</v>
      </c>
      <c r="AD40" s="157">
        <f>+'Growth, Modal Shift, InfraCosts'!F167</f>
        <v>18413.891379478919</v>
      </c>
      <c r="AE40" s="157">
        <f>+'Growth, Modal Shift, InfraCosts'!G167</f>
        <v>15627.021288662263</v>
      </c>
      <c r="AF40" s="157">
        <f>+'Growth, Modal Shift, InfraCosts'!H167</f>
        <v>14025.636961090611</v>
      </c>
      <c r="AG40" s="286">
        <f t="shared" si="19"/>
        <v>1</v>
      </c>
      <c r="AH40" s="287">
        <f t="shared" si="20"/>
        <v>1.7047410362209392</v>
      </c>
      <c r="AI40" s="287">
        <f t="shared" si="21"/>
        <v>1.6397294485965739</v>
      </c>
      <c r="AJ40" s="287">
        <f t="shared" si="22"/>
        <v>1.3915641886509384</v>
      </c>
      <c r="AK40" s="288">
        <f t="shared" si="23"/>
        <v>1.248964087112574</v>
      </c>
      <c r="AL40" s="899"/>
      <c r="BA40" s="176"/>
      <c r="BB40" s="176"/>
    </row>
    <row r="41" spans="2:54" ht="16.5" thickBot="1" x14ac:dyDescent="0.3">
      <c r="B41" s="184" t="s">
        <v>14</v>
      </c>
      <c r="C41" s="924" t="s">
        <v>42</v>
      </c>
      <c r="D41" s="925" t="s">
        <v>42</v>
      </c>
      <c r="E41" s="925" t="s">
        <v>42</v>
      </c>
      <c r="F41" s="925" t="s">
        <v>42</v>
      </c>
      <c r="G41" s="926" t="s">
        <v>42</v>
      </c>
      <c r="H41" s="45" t="s">
        <v>146</v>
      </c>
      <c r="I41" s="43" t="s">
        <v>146</v>
      </c>
      <c r="J41" s="43" t="s">
        <v>146</v>
      </c>
      <c r="K41" s="43" t="s">
        <v>146</v>
      </c>
      <c r="L41" s="46" t="s">
        <v>146</v>
      </c>
      <c r="AA41" s="129" t="s">
        <v>442</v>
      </c>
      <c r="AB41" s="157">
        <f>'Growth, Modal Shift, InfraCosts'!D168</f>
        <v>2954.2873396446239</v>
      </c>
      <c r="AC41" s="157">
        <f>'Growth, Modal Shift, InfraCosts'!E168</f>
        <v>3028.3769916521883</v>
      </c>
      <c r="AD41" s="157">
        <f>'Growth, Modal Shift, InfraCosts'!F168</f>
        <v>3442.6199715409243</v>
      </c>
      <c r="AE41" s="157">
        <f>'Growth, Modal Shift, InfraCosts'!G168</f>
        <v>3485.8654030614603</v>
      </c>
      <c r="AF41" s="157">
        <f>'Growth, Modal Shift, InfraCosts'!H168</f>
        <v>3529.1108345819962</v>
      </c>
      <c r="AG41" s="286">
        <f t="shared" si="19"/>
        <v>1</v>
      </c>
      <c r="AH41" s="287">
        <f t="shared" si="20"/>
        <v>1.0250778396635278</v>
      </c>
      <c r="AI41" s="287">
        <f t="shared" si="21"/>
        <v>1.1652906595365524</v>
      </c>
      <c r="AJ41" s="287">
        <f t="shared" si="22"/>
        <v>1.179928358168763</v>
      </c>
      <c r="AK41" s="288">
        <f t="shared" si="23"/>
        <v>1.1945660568009733</v>
      </c>
      <c r="AL41" s="899"/>
      <c r="BA41" s="176"/>
      <c r="BB41" s="176"/>
    </row>
    <row r="42" spans="2:54" ht="15.75" x14ac:dyDescent="0.25">
      <c r="B42" s="182" t="str">
        <f t="shared" ref="B42:B53" si="25">B24</f>
        <v>Petrol</v>
      </c>
      <c r="C42" s="1302">
        <f>'Scenarios technology'!AE141/1000</f>
        <v>5.6791</v>
      </c>
      <c r="D42" s="1303">
        <f>'Scenarios technology'!AE281/1000</f>
        <v>1.298763180771862</v>
      </c>
      <c r="E42" s="1303">
        <f>'Scenarios technology'!AE421/1000</f>
        <v>1.3950995937792141</v>
      </c>
      <c r="F42" s="1303">
        <f t="shared" ref="F42:F53" si="26">(E42+G42)/2</f>
        <v>1.4988312618884274</v>
      </c>
      <c r="G42" s="1304">
        <f>'Scenarios technology'!AE561/1000</f>
        <v>1.6025629299976409</v>
      </c>
      <c r="H42" s="283">
        <f>(C42+0.1)/($C42+0.1)</f>
        <v>1</v>
      </c>
      <c r="I42" s="284">
        <f t="shared" ref="I42:L53" si="27">(D42+0.1)/($C42+0.1)</f>
        <v>0.24203823792145182</v>
      </c>
      <c r="J42" s="284">
        <f t="shared" si="27"/>
        <v>0.25870803304653223</v>
      </c>
      <c r="K42" s="284">
        <f t="shared" si="27"/>
        <v>0.27665748332585138</v>
      </c>
      <c r="L42" s="285">
        <f t="shared" si="27"/>
        <v>0.29460693360517054</v>
      </c>
      <c r="AA42" s="129" t="s">
        <v>376</v>
      </c>
      <c r="AB42" s="157">
        <f>+'Growth, Modal Shift, InfraCosts'!D169</f>
        <v>5669.2658459138111</v>
      </c>
      <c r="AC42" s="157">
        <f>+'Growth, Modal Shift, InfraCosts'!E169</f>
        <v>10385.438123807755</v>
      </c>
      <c r="AD42" s="157">
        <f>+'Growth, Modal Shift, InfraCosts'!F169</f>
        <v>13045.940731761766</v>
      </c>
      <c r="AE42" s="157">
        <f>+'Growth, Modal Shift, InfraCosts'!G169</f>
        <v>13748.98665260895</v>
      </c>
      <c r="AF42" s="157">
        <f>+'Growth, Modal Shift, InfraCosts'!H169</f>
        <v>14452.032573456132</v>
      </c>
      <c r="AG42" s="286">
        <f t="shared" si="19"/>
        <v>1</v>
      </c>
      <c r="AH42" s="287">
        <f t="shared" si="20"/>
        <v>1.831869455257173</v>
      </c>
      <c r="AI42" s="287">
        <f t="shared" si="21"/>
        <v>2.301146386798214</v>
      </c>
      <c r="AJ42" s="287">
        <f t="shared" si="22"/>
        <v>2.4251542458701247</v>
      </c>
      <c r="AK42" s="288">
        <f t="shared" si="23"/>
        <v>2.549162104942035</v>
      </c>
      <c r="AL42" s="899"/>
      <c r="BA42" s="891"/>
      <c r="BB42" s="891"/>
    </row>
    <row r="43" spans="2:54" ht="16.5" thickBot="1" x14ac:dyDescent="0.3">
      <c r="B43" s="177" t="str">
        <f t="shared" si="25"/>
        <v>Diesel</v>
      </c>
      <c r="C43" s="235">
        <f>'Scenarios technology'!AF141/1000</f>
        <v>105.25343957362492</v>
      </c>
      <c r="D43" s="300">
        <f>'Scenarios technology'!AF281/1000</f>
        <v>107.50611255614</v>
      </c>
      <c r="E43" s="300">
        <f>'Scenarios technology'!AF421/1000</f>
        <v>107.17701111063053</v>
      </c>
      <c r="F43" s="300">
        <f t="shared" si="26"/>
        <v>108.32656068064904</v>
      </c>
      <c r="G43" s="236">
        <f>'Scenarios technology'!AF561/1000</f>
        <v>109.47611025066753</v>
      </c>
      <c r="H43" s="286">
        <f t="shared" ref="H43:H53" si="28">(C43+0.1)/($C43+0.1)</f>
        <v>1</v>
      </c>
      <c r="I43" s="287">
        <f t="shared" si="27"/>
        <v>1.0213820544600334</v>
      </c>
      <c r="J43" s="287">
        <f t="shared" si="27"/>
        <v>1.0182582699225624</v>
      </c>
      <c r="K43" s="287">
        <f t="shared" si="27"/>
        <v>1.0291696324245447</v>
      </c>
      <c r="L43" s="288">
        <f t="shared" si="27"/>
        <v>1.0400809949265268</v>
      </c>
      <c r="AA43" s="129" t="s">
        <v>111</v>
      </c>
      <c r="AB43" s="157">
        <f>'Growth, Modal Shift, InfraCosts'!D170</f>
        <v>0</v>
      </c>
      <c r="AC43" s="157">
        <f>'Growth, Modal Shift, InfraCosts'!E170</f>
        <v>1158.2143610589721</v>
      </c>
      <c r="AD43" s="157">
        <f>'Growth, Modal Shift, InfraCosts'!F170</f>
        <v>1158.2143610589721</v>
      </c>
      <c r="AE43" s="157">
        <f>'Growth, Modal Shift, InfraCosts'!G170</f>
        <v>1158.2143610589721</v>
      </c>
      <c r="AF43" s="157">
        <f>'Growth, Modal Shift, InfraCosts'!H170</f>
        <v>1158.2143610589721</v>
      </c>
      <c r="AG43" s="286">
        <f t="shared" si="19"/>
        <v>1</v>
      </c>
      <c r="AH43" s="287">
        <f t="shared" si="20"/>
        <v>11583.143610589719</v>
      </c>
      <c r="AI43" s="287">
        <f t="shared" si="21"/>
        <v>11583.143610589719</v>
      </c>
      <c r="AJ43" s="287">
        <f t="shared" si="22"/>
        <v>11583.143610589719</v>
      </c>
      <c r="AK43" s="288">
        <f t="shared" si="23"/>
        <v>11583.143610589719</v>
      </c>
      <c r="AL43" s="899"/>
      <c r="BA43" s="176"/>
      <c r="BB43" s="176"/>
    </row>
    <row r="44" spans="2:54" ht="16.5" thickBot="1" x14ac:dyDescent="0.3">
      <c r="B44" s="177" t="str">
        <f t="shared" si="25"/>
        <v>Jet-fuel fossil</v>
      </c>
      <c r="C44" s="235">
        <f>'Scenarios technology'!AG141/1000</f>
        <v>7.4413556000000005</v>
      </c>
      <c r="D44" s="300">
        <f>'Scenarios technology'!AG281/1000</f>
        <v>8.2694762837239857</v>
      </c>
      <c r="E44" s="300">
        <f>'Scenarios technology'!AG421/1000</f>
        <v>8.2768967282756609</v>
      </c>
      <c r="F44" s="300">
        <f t="shared" si="26"/>
        <v>7.5425466472897806</v>
      </c>
      <c r="G44" s="236">
        <f>'Scenarios technology'!AG561/1000</f>
        <v>6.8081965663039004</v>
      </c>
      <c r="H44" s="286">
        <f t="shared" si="28"/>
        <v>1</v>
      </c>
      <c r="I44" s="287">
        <f t="shared" si="27"/>
        <v>1.1098105868027208</v>
      </c>
      <c r="J44" s="287">
        <f t="shared" si="27"/>
        <v>1.1107945537372168</v>
      </c>
      <c r="K44" s="287">
        <f t="shared" si="27"/>
        <v>1.0134181508812261</v>
      </c>
      <c r="L44" s="288">
        <f t="shared" si="27"/>
        <v>0.91604174802523564</v>
      </c>
      <c r="AA44" s="181" t="s">
        <v>0</v>
      </c>
      <c r="AB44" s="188">
        <f>SUM(AB35:AB43)</f>
        <v>79600.254738688818</v>
      </c>
      <c r="AC44" s="189">
        <f>SUM(AC35:AC43)</f>
        <v>101353.54567314619</v>
      </c>
      <c r="AD44" s="189">
        <f>SUM(AD35:AD43)</f>
        <v>112340.3010286466</v>
      </c>
      <c r="AE44" s="189">
        <f>SUM(AE35:AE43)</f>
        <v>112552.92297811074</v>
      </c>
      <c r="AF44" s="190">
        <f>SUM(AF35:AF43)</f>
        <v>113951.03069081993</v>
      </c>
      <c r="AG44" s="940">
        <v>1</v>
      </c>
      <c r="AH44" s="941">
        <f>AC44/$AB44</f>
        <v>1.2732816748623346</v>
      </c>
      <c r="AI44" s="941">
        <f>AD44/$AB44</f>
        <v>1.4113057979203281</v>
      </c>
      <c r="AJ44" s="279">
        <f>AE44/$AB44</f>
        <v>1.4139769193905061</v>
      </c>
      <c r="AK44" s="942">
        <f>AF44/$AB44</f>
        <v>1.4315410304263172</v>
      </c>
      <c r="AL44" s="899"/>
    </row>
    <row r="45" spans="2:54" ht="15.75" x14ac:dyDescent="0.25">
      <c r="B45" s="177" t="str">
        <f t="shared" si="25"/>
        <v>Biogas</v>
      </c>
      <c r="C45" s="235">
        <f>'Scenarios technology'!AL141/1000</f>
        <v>0</v>
      </c>
      <c r="D45" s="300">
        <f>'Scenarios technology'!AL281/1000</f>
        <v>0</v>
      </c>
      <c r="E45" s="300">
        <f>'Scenarios technology'!AL421/1000</f>
        <v>0</v>
      </c>
      <c r="F45" s="300">
        <f t="shared" si="26"/>
        <v>0</v>
      </c>
      <c r="G45" s="236">
        <f>'Scenarios technology'!AL561/1000</f>
        <v>0</v>
      </c>
      <c r="H45" s="286">
        <f t="shared" si="28"/>
        <v>1</v>
      </c>
      <c r="I45" s="287">
        <f t="shared" si="27"/>
        <v>1</v>
      </c>
      <c r="J45" s="287">
        <f t="shared" si="27"/>
        <v>1</v>
      </c>
      <c r="K45" s="287">
        <f t="shared" si="27"/>
        <v>1</v>
      </c>
      <c r="L45" s="288">
        <f t="shared" si="27"/>
        <v>1</v>
      </c>
      <c r="AH45" s="931"/>
      <c r="AI45" s="932"/>
      <c r="AJ45" s="932"/>
      <c r="AK45" s="932"/>
      <c r="AL45" s="899"/>
    </row>
    <row r="46" spans="2:54" ht="16.5" thickBot="1" x14ac:dyDescent="0.3">
      <c r="B46" s="177" t="str">
        <f t="shared" si="25"/>
        <v>Bioethanol</v>
      </c>
      <c r="C46" s="235">
        <f>'Scenarios technology'!AJ141/1000</f>
        <v>0</v>
      </c>
      <c r="D46" s="300">
        <f>'Scenarios technology'!AJ281/1000</f>
        <v>1.2527504674913845</v>
      </c>
      <c r="E46" s="300">
        <f>'Scenarios technology'!AJ421/1000</f>
        <v>1.3456738643185715</v>
      </c>
      <c r="F46" s="300">
        <f>(E46+G46)/2</f>
        <v>1.4457305164021705</v>
      </c>
      <c r="G46" s="236">
        <f>'Scenarios technology'!AJ561/1000</f>
        <v>1.5457871684857694</v>
      </c>
      <c r="H46" s="286">
        <f t="shared" si="28"/>
        <v>1</v>
      </c>
      <c r="I46" s="287">
        <f t="shared" si="27"/>
        <v>13.527504674913846</v>
      </c>
      <c r="J46" s="287">
        <f t="shared" si="27"/>
        <v>14.456738643185716</v>
      </c>
      <c r="K46" s="287">
        <f t="shared" si="27"/>
        <v>15.457305164021706</v>
      </c>
      <c r="L46" s="288">
        <f t="shared" si="27"/>
        <v>16.457871684857693</v>
      </c>
      <c r="AH46" s="931"/>
      <c r="AI46" s="932"/>
      <c r="AJ46" s="932"/>
      <c r="AK46" s="932"/>
      <c r="AL46" s="899"/>
    </row>
    <row r="47" spans="2:54" ht="16.5" thickBot="1" x14ac:dyDescent="0.3">
      <c r="B47" s="177" t="str">
        <f t="shared" si="25"/>
        <v>Biodiesel</v>
      </c>
      <c r="C47" s="1562">
        <f>'Scenarios technology'!AK141/1000</f>
        <v>0.40444450997406622</v>
      </c>
      <c r="D47" s="1563">
        <f>'Scenarios technology'!AK281/1000</f>
        <v>3.6511121371517392</v>
      </c>
      <c r="E47" s="1563">
        <f>'Scenarios technology'!AK421/1000</f>
        <v>3.7817891966313693</v>
      </c>
      <c r="F47" s="1563">
        <f>(E47+G47)/2</f>
        <v>3.9365855334207804</v>
      </c>
      <c r="G47" s="1564">
        <f>'Scenarios technology'!AK561/1000</f>
        <v>4.0913818702101912</v>
      </c>
      <c r="H47" s="286">
        <f>(C47+0.1)/($C47+0.1)</f>
        <v>1</v>
      </c>
      <c r="I47" s="287">
        <f>(D47+0.1)/($C47+0.1)</f>
        <v>7.4361244160325706</v>
      </c>
      <c r="J47" s="287">
        <f>(E47+0.1)/($C47+0.1)</f>
        <v>7.6951758218776822</v>
      </c>
      <c r="K47" s="287">
        <f>(F47+0.1)/($C47+0.1)</f>
        <v>8.0020407668393556</v>
      </c>
      <c r="L47" s="288">
        <f>(G47+0.1)/($C47+0.1)</f>
        <v>8.3089057118010317</v>
      </c>
      <c r="AA47" s="185" t="s">
        <v>481</v>
      </c>
      <c r="AB47" s="1314"/>
      <c r="AC47" s="1314"/>
      <c r="AD47" s="1314"/>
      <c r="AE47" s="1314"/>
      <c r="AF47" s="1314"/>
      <c r="AG47" s="1314"/>
      <c r="AH47" s="1314"/>
      <c r="AI47" s="1314"/>
      <c r="AJ47" s="1314"/>
      <c r="AK47" s="1315"/>
      <c r="AL47" s="899"/>
    </row>
    <row r="48" spans="2:54" ht="18.75" x14ac:dyDescent="0.3">
      <c r="B48" s="177" t="str">
        <f t="shared" si="25"/>
        <v>Bio-methanol</v>
      </c>
      <c r="C48" s="235">
        <f>'Scenarios technology'!AI141/1000</f>
        <v>0</v>
      </c>
      <c r="D48" s="300">
        <f>'Scenarios technology'!AI281/1000</f>
        <v>0</v>
      </c>
      <c r="E48" s="300">
        <f>'Scenarios technology'!AI421/1000</f>
        <v>0</v>
      </c>
      <c r="F48" s="300">
        <f>(E48+G48)/2</f>
        <v>0</v>
      </c>
      <c r="G48" s="236">
        <f>'Scenarios technology'!AI561/1000</f>
        <v>0</v>
      </c>
      <c r="H48" s="286">
        <f t="shared" si="28"/>
        <v>1</v>
      </c>
      <c r="I48" s="287">
        <f t="shared" si="27"/>
        <v>1</v>
      </c>
      <c r="J48" s="287">
        <f t="shared" si="27"/>
        <v>1</v>
      </c>
      <c r="K48" s="287">
        <f t="shared" si="27"/>
        <v>1</v>
      </c>
      <c r="L48" s="288">
        <f t="shared" si="27"/>
        <v>1</v>
      </c>
      <c r="AA48" s="1299" t="s">
        <v>368</v>
      </c>
      <c r="AB48" s="1296">
        <f>AB33</f>
        <v>2010</v>
      </c>
      <c r="AC48" s="1296">
        <f>AC33</f>
        <v>2020</v>
      </c>
      <c r="AD48" s="1296">
        <f>AD33</f>
        <v>2030</v>
      </c>
      <c r="AE48" s="1296">
        <f>AE33</f>
        <v>2040</v>
      </c>
      <c r="AF48" s="1297">
        <f>AF33</f>
        <v>2050</v>
      </c>
      <c r="AG48" s="1311">
        <v>2010</v>
      </c>
      <c r="AH48" s="1309">
        <v>2020</v>
      </c>
      <c r="AI48" s="1309">
        <v>2030</v>
      </c>
      <c r="AJ48" s="1309">
        <v>2040</v>
      </c>
      <c r="AK48" s="1310">
        <v>2050</v>
      </c>
      <c r="AL48" s="899"/>
    </row>
    <row r="49" spans="2:52" ht="16.5" thickBot="1" x14ac:dyDescent="0.3">
      <c r="B49" s="177" t="str">
        <f t="shared" si="25"/>
        <v>Bio-jetfuel</v>
      </c>
      <c r="C49" s="235">
        <f>'Scenarios technology'!AM141/1000</f>
        <v>0</v>
      </c>
      <c r="D49" s="300">
        <f>'Scenarios technology'!AM281/1000</f>
        <v>0</v>
      </c>
      <c r="E49" s="300">
        <f>'Scenarios technology'!AM421/1000</f>
        <v>0</v>
      </c>
      <c r="F49" s="300">
        <f t="shared" si="26"/>
        <v>0</v>
      </c>
      <c r="G49" s="236">
        <f>'Scenarios technology'!AM561/1000</f>
        <v>0</v>
      </c>
      <c r="H49" s="286">
        <f t="shared" si="28"/>
        <v>1</v>
      </c>
      <c r="I49" s="287">
        <f t="shared" si="27"/>
        <v>1</v>
      </c>
      <c r="J49" s="287">
        <f t="shared" si="27"/>
        <v>1</v>
      </c>
      <c r="K49" s="287">
        <f t="shared" si="27"/>
        <v>1</v>
      </c>
      <c r="L49" s="288">
        <f t="shared" si="27"/>
        <v>1</v>
      </c>
      <c r="AA49" s="122"/>
      <c r="AB49" s="43"/>
      <c r="AC49" s="43"/>
      <c r="AD49" s="43"/>
      <c r="AE49" s="43"/>
      <c r="AF49" s="46"/>
      <c r="AG49" s="65" t="s">
        <v>146</v>
      </c>
      <c r="AH49" s="42" t="s">
        <v>146</v>
      </c>
      <c r="AI49" s="42" t="s">
        <v>146</v>
      </c>
      <c r="AJ49" s="42" t="s">
        <v>146</v>
      </c>
      <c r="AK49" s="66" t="s">
        <v>146</v>
      </c>
      <c r="AL49" s="899"/>
      <c r="AM49" s="956"/>
      <c r="AN49" s="956"/>
      <c r="AO49" s="956"/>
      <c r="AP49" s="956"/>
      <c r="AQ49" s="956"/>
      <c r="AR49" s="956"/>
      <c r="AS49" s="956"/>
      <c r="AT49" s="956"/>
      <c r="AU49" s="956"/>
      <c r="AV49" s="956"/>
      <c r="AW49" s="956"/>
      <c r="AX49" s="956"/>
      <c r="AY49" s="956"/>
      <c r="AZ49" s="956"/>
    </row>
    <row r="50" spans="2:52" ht="15.75" x14ac:dyDescent="0.25">
      <c r="B50" s="177" t="str">
        <f t="shared" si="25"/>
        <v>Syn-methanol</v>
      </c>
      <c r="C50" s="235">
        <f>'Scenarios technology'!AH141/1000</f>
        <v>0</v>
      </c>
      <c r="D50" s="300">
        <f>'Scenarios technology'!AH281/1000</f>
        <v>0</v>
      </c>
      <c r="E50" s="300">
        <f>'Scenarios technology'!AH421/1000</f>
        <v>0</v>
      </c>
      <c r="F50" s="300">
        <f>(E50+G50)/2</f>
        <v>0</v>
      </c>
      <c r="G50" s="236">
        <f>'Scenarios technology'!AH561/1000</f>
        <v>0</v>
      </c>
      <c r="H50" s="286">
        <f t="shared" si="28"/>
        <v>1</v>
      </c>
      <c r="I50" s="287">
        <f t="shared" si="27"/>
        <v>1</v>
      </c>
      <c r="J50" s="287">
        <f t="shared" si="27"/>
        <v>1</v>
      </c>
      <c r="K50" s="287">
        <f t="shared" si="27"/>
        <v>1</v>
      </c>
      <c r="L50" s="288">
        <f t="shared" si="27"/>
        <v>1</v>
      </c>
      <c r="AA50" s="116" t="str">
        <f t="shared" ref="AA50:AF53" si="29">AA35</f>
        <v>Fuel / Energy</v>
      </c>
      <c r="AB50" s="1878">
        <f t="shared" si="29"/>
        <v>0</v>
      </c>
      <c r="AC50" s="1878">
        <f t="shared" si="29"/>
        <v>0</v>
      </c>
      <c r="AD50" s="1878">
        <f t="shared" si="29"/>
        <v>0</v>
      </c>
      <c r="AE50" s="1878">
        <f t="shared" si="29"/>
        <v>0</v>
      </c>
      <c r="AF50" s="1878">
        <f t="shared" si="29"/>
        <v>0</v>
      </c>
      <c r="AG50" s="283">
        <f t="shared" ref="AG50:AG58" si="30">(AB50+0.1)/($AB50+0.1)</f>
        <v>1</v>
      </c>
      <c r="AH50" s="284">
        <f t="shared" ref="AH50:AH58" si="31">(AC50+0.1)/($AB50+0.1)</f>
        <v>1</v>
      </c>
      <c r="AI50" s="284">
        <f t="shared" ref="AI50:AI58" si="32">(AD50+0.1)/($AB50+0.1)</f>
        <v>1</v>
      </c>
      <c r="AJ50" s="284">
        <f t="shared" ref="AJ50:AJ58" si="33">(AE50+0.1)/($AB50+0.1)</f>
        <v>1</v>
      </c>
      <c r="AK50" s="285">
        <f t="shared" ref="AK50:AK58" si="34">(AF50+0.1)/($AB50+0.1)</f>
        <v>1</v>
      </c>
      <c r="AL50" s="1892" t="s">
        <v>521</v>
      </c>
      <c r="AM50" s="1893"/>
    </row>
    <row r="51" spans="2:52" ht="15.75" x14ac:dyDescent="0.25">
      <c r="B51" s="177" t="str">
        <f t="shared" si="25"/>
        <v>Syn-jetfuel</v>
      </c>
      <c r="C51" s="235">
        <f>'Scenarios technology'!AQ141/1000</f>
        <v>0</v>
      </c>
      <c r="D51" s="300">
        <f>'Scenarios technology'!AQ281/1000</f>
        <v>0</v>
      </c>
      <c r="E51" s="300">
        <f>'Scenarios technology'!AQ421/1000</f>
        <v>0</v>
      </c>
      <c r="F51" s="300">
        <f>(E51+G51)/2</f>
        <v>0</v>
      </c>
      <c r="G51" s="236">
        <f>'Scenarios technology'!AQ561/1000</f>
        <v>0</v>
      </c>
      <c r="H51" s="286">
        <f t="shared" si="28"/>
        <v>1</v>
      </c>
      <c r="I51" s="287">
        <f t="shared" si="27"/>
        <v>1</v>
      </c>
      <c r="J51" s="287">
        <f t="shared" si="27"/>
        <v>1</v>
      </c>
      <c r="K51" s="287">
        <f t="shared" si="27"/>
        <v>1</v>
      </c>
      <c r="L51" s="288">
        <f t="shared" si="27"/>
        <v>1</v>
      </c>
      <c r="AA51" s="129" t="str">
        <f t="shared" si="29"/>
        <v>Vehicle</v>
      </c>
      <c r="AB51" s="157">
        <f t="shared" si="29"/>
        <v>32064.888156097979</v>
      </c>
      <c r="AC51" s="157">
        <f t="shared" si="29"/>
        <v>35631.326849959005</v>
      </c>
      <c r="AD51" s="157">
        <f t="shared" si="29"/>
        <v>39227.700696345884</v>
      </c>
      <c r="AE51" s="157">
        <f t="shared" si="29"/>
        <v>39742.267612833944</v>
      </c>
      <c r="AF51" s="157">
        <f t="shared" si="29"/>
        <v>40256.834529322005</v>
      </c>
      <c r="AG51" s="286">
        <f t="shared" si="30"/>
        <v>1</v>
      </c>
      <c r="AH51" s="287">
        <f t="shared" si="31"/>
        <v>1.1112253239108956</v>
      </c>
      <c r="AI51" s="287">
        <f t="shared" si="32"/>
        <v>1.2233842253543983</v>
      </c>
      <c r="AJ51" s="287">
        <f t="shared" si="33"/>
        <v>1.2394318506952549</v>
      </c>
      <c r="AK51" s="288">
        <f t="shared" si="34"/>
        <v>1.2554794760361112</v>
      </c>
      <c r="AL51" s="1892"/>
      <c r="AM51" s="1893"/>
    </row>
    <row r="52" spans="2:52" ht="15.75" x14ac:dyDescent="0.25">
      <c r="B52" s="177" t="str">
        <f t="shared" si="25"/>
        <v>Electricity Train / bus</v>
      </c>
      <c r="C52" s="1562">
        <f>'Scenarios technology'!AP141/1000</f>
        <v>0.1515813</v>
      </c>
      <c r="D52" s="1563">
        <f>'Scenarios technology'!AP281/1000</f>
        <v>0.1852324394863997</v>
      </c>
      <c r="E52" s="1563">
        <f>'Scenarios technology'!AP421/1000</f>
        <v>0.22191216345702161</v>
      </c>
      <c r="F52" s="1563">
        <f>(E52+G52)/2</f>
        <v>0.2433325531784965</v>
      </c>
      <c r="G52" s="1564">
        <f>'Scenarios technology'!AP561/1000</f>
        <v>0.26475294289997142</v>
      </c>
      <c r="H52" s="286">
        <f t="shared" si="28"/>
        <v>1</v>
      </c>
      <c r="I52" s="287">
        <f t="shared" si="27"/>
        <v>1.1337585086268323</v>
      </c>
      <c r="J52" s="287">
        <f t="shared" si="27"/>
        <v>1.2795552112061652</v>
      </c>
      <c r="K52" s="287">
        <f t="shared" si="27"/>
        <v>1.3646982235106366</v>
      </c>
      <c r="L52" s="288">
        <f t="shared" si="27"/>
        <v>1.4498412358151078</v>
      </c>
      <c r="AA52" s="129" t="str">
        <f t="shared" si="29"/>
        <v>Vehicle O&amp;M</v>
      </c>
      <c r="AB52" s="157">
        <f t="shared" si="29"/>
        <v>19450.760452184386</v>
      </c>
      <c r="AC52" s="157">
        <f t="shared" si="29"/>
        <v>21598.592633655244</v>
      </c>
      <c r="AD52" s="157">
        <f t="shared" si="29"/>
        <v>24147.197985700957</v>
      </c>
      <c r="AE52" s="157">
        <f t="shared" si="29"/>
        <v>24347.10326546523</v>
      </c>
      <c r="AF52" s="157">
        <f t="shared" si="29"/>
        <v>24547.008545229499</v>
      </c>
      <c r="AG52" s="286">
        <f t="shared" si="30"/>
        <v>1</v>
      </c>
      <c r="AH52" s="287">
        <f t="shared" si="31"/>
        <v>1.1104235047467861</v>
      </c>
      <c r="AI52" s="287">
        <f t="shared" si="32"/>
        <v>1.2414514023717211</v>
      </c>
      <c r="AJ52" s="287">
        <f t="shared" si="33"/>
        <v>1.2517288541202285</v>
      </c>
      <c r="AK52" s="288">
        <f t="shared" si="34"/>
        <v>1.2620063058687354</v>
      </c>
      <c r="AL52" s="1892"/>
      <c r="AM52" s="1893"/>
    </row>
    <row r="53" spans="2:52" ht="16.5" thickBot="1" x14ac:dyDescent="0.3">
      <c r="B53" s="177" t="str">
        <f t="shared" si="25"/>
        <v>Electricity BEV + Plug-in-hybrid</v>
      </c>
      <c r="C53" s="1562">
        <f>'Scenarios technology'!AN141/1000+'Scenarios technology'!AO141/1000</f>
        <v>0</v>
      </c>
      <c r="D53" s="1563">
        <f>'Scenarios technology'!AN281/1000+'Scenarios technology'!AO281/1000</f>
        <v>0</v>
      </c>
      <c r="E53" s="1563">
        <f>'Scenarios technology'!AN421/1000+'Scenarios technology'!AO421/1000</f>
        <v>0</v>
      </c>
      <c r="F53" s="1563">
        <f t="shared" si="26"/>
        <v>0</v>
      </c>
      <c r="G53" s="1564">
        <f>'Scenarios technology'!AN561/1000+'Scenarios technology'!AO561/1000</f>
        <v>0</v>
      </c>
      <c r="H53" s="934">
        <f t="shared" si="28"/>
        <v>1</v>
      </c>
      <c r="I53" s="935">
        <f t="shared" si="27"/>
        <v>1</v>
      </c>
      <c r="J53" s="935">
        <f t="shared" si="27"/>
        <v>1</v>
      </c>
      <c r="K53" s="935">
        <f t="shared" si="27"/>
        <v>1</v>
      </c>
      <c r="L53" s="936">
        <f t="shared" si="27"/>
        <v>1</v>
      </c>
      <c r="AA53" s="129" t="str">
        <f t="shared" si="29"/>
        <v>EV Charging stations</v>
      </c>
      <c r="AB53" s="157">
        <f t="shared" si="29"/>
        <v>0</v>
      </c>
      <c r="AC53" s="157">
        <f t="shared" si="29"/>
        <v>0</v>
      </c>
      <c r="AD53" s="157">
        <f t="shared" si="29"/>
        <v>0</v>
      </c>
      <c r="AE53" s="157">
        <f t="shared" si="29"/>
        <v>0</v>
      </c>
      <c r="AF53" s="157">
        <f t="shared" si="29"/>
        <v>0</v>
      </c>
      <c r="AG53" s="286">
        <f t="shared" si="30"/>
        <v>1</v>
      </c>
      <c r="AH53" s="287">
        <f t="shared" si="31"/>
        <v>1</v>
      </c>
      <c r="AI53" s="287">
        <f t="shared" si="32"/>
        <v>1</v>
      </c>
      <c r="AJ53" s="287">
        <f t="shared" si="33"/>
        <v>1</v>
      </c>
      <c r="AK53" s="288">
        <f t="shared" si="34"/>
        <v>1</v>
      </c>
      <c r="AL53" s="899"/>
    </row>
    <row r="54" spans="2:52" ht="16.5" thickBot="1" x14ac:dyDescent="0.3">
      <c r="B54" s="185" t="s">
        <v>60</v>
      </c>
      <c r="C54" s="1300">
        <f>SUM(C42:C53)</f>
        <v>118.92992098359899</v>
      </c>
      <c r="D54" s="1301">
        <f>SUM(D42:D53)</f>
        <v>122.16344706476536</v>
      </c>
      <c r="E54" s="1301">
        <f>SUM(E42:E53)</f>
        <v>122.19838265709235</v>
      </c>
      <c r="F54" s="1301">
        <f>SUM(F42:F53)</f>
        <v>122.99358719282868</v>
      </c>
      <c r="G54" s="1301">
        <f>SUM(G42:G53)</f>
        <v>123.78879172856502</v>
      </c>
      <c r="H54" s="289">
        <f>C54/$C54</f>
        <v>1</v>
      </c>
      <c r="I54" s="279">
        <f>D54/$C54</f>
        <v>1.0271884993652043</v>
      </c>
      <c r="J54" s="279">
        <f>E54/$C54</f>
        <v>1.0274822487601256</v>
      </c>
      <c r="K54" s="279">
        <f>F54/$C54</f>
        <v>1.034168577390967</v>
      </c>
      <c r="L54" s="290">
        <f>G54/$C54</f>
        <v>1.0408549060218084</v>
      </c>
      <c r="AA54" s="129" t="str">
        <f>AA39</f>
        <v>Renewal infrastructure road</v>
      </c>
      <c r="AB54" s="157"/>
      <c r="AC54" s="157">
        <f>AC39-$AB$39</f>
        <v>2176.3751369652964</v>
      </c>
      <c r="AD54" s="157">
        <f>AD39-$AB$39</f>
        <v>4673.4790820792277</v>
      </c>
      <c r="AE54" s="157">
        <f>AE39-$AB$39</f>
        <v>6212.2075737399955</v>
      </c>
      <c r="AF54" s="157">
        <f>AF39-$AB$39</f>
        <v>7750.9360654007669</v>
      </c>
      <c r="AG54" s="286">
        <f t="shared" si="30"/>
        <v>1</v>
      </c>
      <c r="AH54" s="287">
        <f t="shared" si="31"/>
        <v>21764.75136965296</v>
      </c>
      <c r="AI54" s="287">
        <f t="shared" si="32"/>
        <v>46735.790820792281</v>
      </c>
      <c r="AJ54" s="287">
        <f t="shared" si="33"/>
        <v>62123.075737399959</v>
      </c>
      <c r="AK54" s="288">
        <f t="shared" si="34"/>
        <v>77510.360654007673</v>
      </c>
      <c r="AL54" s="899"/>
    </row>
    <row r="55" spans="2:52" ht="15.75" x14ac:dyDescent="0.25">
      <c r="H55" s="931"/>
      <c r="J55" s="931"/>
      <c r="AA55" s="129" t="str">
        <f>AA40</f>
        <v>New infrastructure road</v>
      </c>
      <c r="AB55" s="157"/>
      <c r="AC55" s="157">
        <f>AC40-$AB$40</f>
        <v>7914.16863119972</v>
      </c>
      <c r="AD55" s="157">
        <f>AD40-$AB$40</f>
        <v>7184.0952553108455</v>
      </c>
      <c r="AE55" s="157">
        <f>AE40-$AB$40</f>
        <v>4397.2251644941898</v>
      </c>
      <c r="AF55" s="157">
        <f>AF40-$AB$40</f>
        <v>2795.8408369225381</v>
      </c>
      <c r="AG55" s="286">
        <f t="shared" si="30"/>
        <v>1</v>
      </c>
      <c r="AH55" s="287">
        <f t="shared" si="31"/>
        <v>79142.686311997197</v>
      </c>
      <c r="AI55" s="287">
        <f t="shared" si="32"/>
        <v>71841.952553108451</v>
      </c>
      <c r="AJ55" s="287">
        <f t="shared" si="33"/>
        <v>43973.251644941898</v>
      </c>
      <c r="AK55" s="288">
        <f t="shared" si="34"/>
        <v>27959.408369225377</v>
      </c>
      <c r="AL55" s="899"/>
    </row>
    <row r="56" spans="2:52" ht="15.75" x14ac:dyDescent="0.25">
      <c r="H56" s="931"/>
      <c r="J56" s="931"/>
      <c r="AA56" s="129" t="str">
        <f>AA41</f>
        <v>Renewal infrastructure rail</v>
      </c>
      <c r="AB56" s="157"/>
      <c r="AC56" s="157">
        <f>AC41-$AB$41</f>
        <v>74.089652007564382</v>
      </c>
      <c r="AD56" s="157">
        <f>AD41-$AB$41</f>
        <v>488.33263189630043</v>
      </c>
      <c r="AE56" s="157">
        <f>AE41-$AB$41</f>
        <v>531.57806341683636</v>
      </c>
      <c r="AF56" s="157">
        <f>AF41-$AB$41</f>
        <v>574.82349493737229</v>
      </c>
      <c r="AG56" s="286">
        <f t="shared" si="30"/>
        <v>1</v>
      </c>
      <c r="AH56" s="287">
        <f t="shared" si="31"/>
        <v>741.89652007564371</v>
      </c>
      <c r="AI56" s="287">
        <f t="shared" si="32"/>
        <v>4884.3263189630043</v>
      </c>
      <c r="AJ56" s="287">
        <f t="shared" si="33"/>
        <v>5316.7806341683636</v>
      </c>
      <c r="AK56" s="288">
        <f t="shared" si="34"/>
        <v>5749.2349493737229</v>
      </c>
      <c r="AL56" s="899"/>
    </row>
    <row r="57" spans="2:52" ht="15.75" x14ac:dyDescent="0.25">
      <c r="H57" s="931"/>
      <c r="J57" s="931"/>
      <c r="AA57" s="129" t="str">
        <f>AA42</f>
        <v>New infrastructure rail</v>
      </c>
      <c r="AB57" s="157"/>
      <c r="AC57" s="157">
        <f>AC42-$AB$42</f>
        <v>4716.1722778939438</v>
      </c>
      <c r="AD57" s="157">
        <f>AD42-$AB$42</f>
        <v>7376.674885847955</v>
      </c>
      <c r="AE57" s="157">
        <f>AE42-$AB$42</f>
        <v>8079.7208066951389</v>
      </c>
      <c r="AF57" s="157">
        <f>AF42-$AB$42</f>
        <v>8782.766727542321</v>
      </c>
      <c r="AG57" s="286">
        <f t="shared" si="30"/>
        <v>1</v>
      </c>
      <c r="AH57" s="287">
        <f t="shared" si="31"/>
        <v>47162.722778939438</v>
      </c>
      <c r="AI57" s="287">
        <f t="shared" si="32"/>
        <v>73767.74885847955</v>
      </c>
      <c r="AJ57" s="287">
        <f t="shared" si="33"/>
        <v>80798.208066951382</v>
      </c>
      <c r="AK57" s="288">
        <f t="shared" si="34"/>
        <v>87828.667275423213</v>
      </c>
      <c r="AL57" s="899"/>
    </row>
    <row r="58" spans="2:52" ht="16.5" thickBot="1" x14ac:dyDescent="0.3">
      <c r="AA58" s="129" t="str">
        <f>AA43</f>
        <v>Other</v>
      </c>
      <c r="AB58" s="157">
        <f>AB43</f>
        <v>0</v>
      </c>
      <c r="AC58" s="157">
        <f>AC43</f>
        <v>1158.2143610589721</v>
      </c>
      <c r="AD58" s="157">
        <f>AD43</f>
        <v>1158.2143610589721</v>
      </c>
      <c r="AE58" s="157">
        <f>AE43</f>
        <v>1158.2143610589721</v>
      </c>
      <c r="AF58" s="157">
        <f>AF43</f>
        <v>1158.2143610589721</v>
      </c>
      <c r="AG58" s="286">
        <f t="shared" si="30"/>
        <v>1</v>
      </c>
      <c r="AH58" s="287">
        <f t="shared" si="31"/>
        <v>11583.143610589719</v>
      </c>
      <c r="AI58" s="287">
        <f t="shared" si="32"/>
        <v>11583.143610589719</v>
      </c>
      <c r="AJ58" s="287">
        <f t="shared" si="33"/>
        <v>11583.143610589719</v>
      </c>
      <c r="AK58" s="288">
        <f t="shared" si="34"/>
        <v>11583.143610589719</v>
      </c>
      <c r="AL58" s="899"/>
    </row>
    <row r="59" spans="2:52" ht="16.5" thickBot="1" x14ac:dyDescent="0.3">
      <c r="AA59" s="181" t="s">
        <v>0</v>
      </c>
      <c r="AB59" s="188">
        <f>SUM(AB50:AB58)</f>
        <v>51515.648608282369</v>
      </c>
      <c r="AC59" s="189">
        <f>SUM(AC50:AC58)</f>
        <v>73268.939542739739</v>
      </c>
      <c r="AD59" s="189">
        <f>SUM(AD50:AD58)</f>
        <v>84255.694898240137</v>
      </c>
      <c r="AE59" s="189">
        <f>SUM(AE50:AE58)</f>
        <v>84468.316847704307</v>
      </c>
      <c r="AF59" s="190">
        <f>SUM(AF50:AF58)</f>
        <v>85866.424560413463</v>
      </c>
      <c r="AG59" s="940">
        <v>1</v>
      </c>
      <c r="AH59" s="941">
        <f>AC59/$AB59</f>
        <v>1.4222656905645561</v>
      </c>
      <c r="AI59" s="941">
        <f>AD59/$AB59</f>
        <v>1.6355359424649469</v>
      </c>
      <c r="AJ59" s="279">
        <f>AE59/$AB59</f>
        <v>1.6396632698927915</v>
      </c>
      <c r="AK59" s="942">
        <f>AF59/$AB59</f>
        <v>1.6668027459642309</v>
      </c>
      <c r="AL59" s="899"/>
    </row>
    <row r="60" spans="2:52" x14ac:dyDescent="0.25">
      <c r="AA60" s="956"/>
      <c r="AB60" s="956"/>
      <c r="AC60" s="956"/>
      <c r="AD60" s="956"/>
      <c r="AE60" s="956"/>
      <c r="AF60" s="956"/>
      <c r="AG60" s="932"/>
      <c r="AH60" s="931"/>
      <c r="AI60" s="932"/>
      <c r="AJ60" s="932"/>
      <c r="AK60" s="932"/>
      <c r="AL60" s="899"/>
    </row>
    <row r="62" spans="2:52" ht="15.75" thickBot="1" x14ac:dyDescent="0.3"/>
    <row r="63" spans="2:52" ht="18.75" x14ac:dyDescent="0.3">
      <c r="B63" s="213" t="s">
        <v>148</v>
      </c>
      <c r="C63" s="100">
        <v>2010</v>
      </c>
      <c r="D63" s="163">
        <v>2020</v>
      </c>
      <c r="E63" s="163">
        <v>2030</v>
      </c>
      <c r="F63" s="163">
        <v>2040</v>
      </c>
      <c r="G63" s="164">
        <v>2050</v>
      </c>
      <c r="H63" s="100">
        <v>2010</v>
      </c>
      <c r="I63" s="929">
        <v>2020</v>
      </c>
      <c r="J63" s="929">
        <v>2030</v>
      </c>
      <c r="K63" s="929">
        <v>2040</v>
      </c>
      <c r="L63" s="930">
        <v>2050</v>
      </c>
    </row>
    <row r="64" spans="2:52" ht="16.5" thickBot="1" x14ac:dyDescent="0.3">
      <c r="B64" s="184" t="s">
        <v>31</v>
      </c>
      <c r="C64" s="45" t="s">
        <v>42</v>
      </c>
      <c r="D64" s="43" t="s">
        <v>42</v>
      </c>
      <c r="E64" s="43" t="s">
        <v>42</v>
      </c>
      <c r="F64" s="43" t="s">
        <v>42</v>
      </c>
      <c r="G64" s="46" t="s">
        <v>42</v>
      </c>
      <c r="H64" s="45" t="s">
        <v>146</v>
      </c>
      <c r="I64" s="43" t="s">
        <v>146</v>
      </c>
      <c r="J64" s="43" t="s">
        <v>146</v>
      </c>
      <c r="K64" s="43" t="s">
        <v>146</v>
      </c>
      <c r="L64" s="46" t="s">
        <v>146</v>
      </c>
    </row>
    <row r="65" spans="2:12" ht="15.75" x14ac:dyDescent="0.25">
      <c r="B65" s="182" t="s">
        <v>317</v>
      </c>
      <c r="C65" s="186">
        <f>'Scenarios technology'!AD6/1000</f>
        <v>91.793355476646269</v>
      </c>
      <c r="D65" s="157">
        <f>'Scenarios technology'!AD146/1000</f>
        <v>97.212619593283392</v>
      </c>
      <c r="E65" s="157">
        <f>'Scenarios technology'!AD286/1000</f>
        <v>102.96899091845901</v>
      </c>
      <c r="F65" s="157">
        <f>(E65+G65)/2</f>
        <v>109.80880672338913</v>
      </c>
      <c r="G65" s="187">
        <f>'Scenarios technology'!AD426/1000</f>
        <v>116.64862252831922</v>
      </c>
      <c r="H65" s="286">
        <f t="shared" ref="H65:L69" si="35">(C65+0.1)/($C65+0.1)</f>
        <v>1</v>
      </c>
      <c r="I65" s="287">
        <f t="shared" si="35"/>
        <v>1.0589734055147695</v>
      </c>
      <c r="J65" s="287">
        <f t="shared" si="35"/>
        <v>1.1216152722233863</v>
      </c>
      <c r="K65" s="287">
        <f t="shared" si="35"/>
        <v>1.1960473763668504</v>
      </c>
      <c r="L65" s="288">
        <f t="shared" si="35"/>
        <v>1.2704794805103146</v>
      </c>
    </row>
    <row r="66" spans="2:12" ht="15.75" x14ac:dyDescent="0.25">
      <c r="B66" s="177" t="s">
        <v>69</v>
      </c>
      <c r="C66" s="186">
        <f>'Scenarios technology'!AD30/1000</f>
        <v>8.9602048965998105</v>
      </c>
      <c r="D66" s="157">
        <f>'Scenarios technology'!AD170/1000</f>
        <v>8.5291201741195728</v>
      </c>
      <c r="E66" s="157">
        <f>'Scenarios technology'!AD310/1000</f>
        <v>7.908606957862589</v>
      </c>
      <c r="F66" s="157">
        <f>(E66+G66)/2</f>
        <v>7.6963341873848776</v>
      </c>
      <c r="G66" s="187">
        <f>'Scenarios technology'!AD450/1000</f>
        <v>7.4840614169071653</v>
      </c>
      <c r="H66" s="286">
        <f t="shared" si="35"/>
        <v>1</v>
      </c>
      <c r="I66" s="287">
        <f t="shared" si="35"/>
        <v>0.95241998085032065</v>
      </c>
      <c r="J66" s="287">
        <f t="shared" si="35"/>
        <v>0.88393221226907648</v>
      </c>
      <c r="K66" s="287">
        <f t="shared" si="35"/>
        <v>0.86050307651549374</v>
      </c>
      <c r="L66" s="288">
        <f t="shared" si="35"/>
        <v>0.837073940761911</v>
      </c>
    </row>
    <row r="67" spans="2:12" ht="15.75" x14ac:dyDescent="0.25">
      <c r="B67" s="177" t="s">
        <v>76</v>
      </c>
      <c r="C67" s="186">
        <f>'Scenarios technology'!AD24/1000</f>
        <v>3.9226296444444442</v>
      </c>
      <c r="D67" s="157">
        <f>'Scenarios technology'!AD164/1000</f>
        <v>2.6599693844492278</v>
      </c>
      <c r="E67" s="157">
        <f>'Scenarios technology'!AD304/1000</f>
        <v>2.8326932118478378</v>
      </c>
      <c r="F67" s="157">
        <f>(E67+G67)/2</f>
        <v>2.8685255252994484</v>
      </c>
      <c r="G67" s="187">
        <f>'Scenarios technology'!AD444/1000</f>
        <v>2.9043578387510589</v>
      </c>
      <c r="H67" s="286">
        <f t="shared" si="35"/>
        <v>1</v>
      </c>
      <c r="I67" s="287">
        <f t="shared" si="35"/>
        <v>0.68611073561319635</v>
      </c>
      <c r="J67" s="287">
        <f t="shared" si="35"/>
        <v>0.72904877432554827</v>
      </c>
      <c r="K67" s="287">
        <f t="shared" si="35"/>
        <v>0.73795645825839495</v>
      </c>
      <c r="L67" s="288">
        <f t="shared" si="35"/>
        <v>0.74686414219124164</v>
      </c>
    </row>
    <row r="68" spans="2:12" ht="15.75" x14ac:dyDescent="0.25">
      <c r="B68" s="177" t="s">
        <v>107</v>
      </c>
      <c r="C68" s="186">
        <f>'Scenarios technology'!AD46/1000</f>
        <v>26.689175738372644</v>
      </c>
      <c r="D68" s="157">
        <f>'Scenarios technology'!AD186/1000</f>
        <v>33.40940022420309</v>
      </c>
      <c r="E68" s="157">
        <f>'Scenarios technology'!AD326/1000</f>
        <v>36.331487865090637</v>
      </c>
      <c r="F68" s="157">
        <f>(E68+G68)/2</f>
        <v>34.339680266271827</v>
      </c>
      <c r="G68" s="187">
        <f>'Scenarios technology'!AD466/1000</f>
        <v>32.347872667453018</v>
      </c>
      <c r="H68" s="286">
        <f t="shared" si="35"/>
        <v>1</v>
      </c>
      <c r="I68" s="287">
        <f t="shared" si="35"/>
        <v>1.250855963298805</v>
      </c>
      <c r="J68" s="287">
        <f t="shared" si="35"/>
        <v>1.3599331394473031</v>
      </c>
      <c r="K68" s="287">
        <f t="shared" si="35"/>
        <v>1.2855819306504697</v>
      </c>
      <c r="L68" s="288">
        <f t="shared" si="35"/>
        <v>1.2112307218536362</v>
      </c>
    </row>
    <row r="69" spans="2:12" ht="16.5" thickBot="1" x14ac:dyDescent="0.3">
      <c r="B69" s="177" t="s">
        <v>77</v>
      </c>
      <c r="C69" s="186">
        <f>'Scenarios technology'!AD51/1000</f>
        <v>2.7164040100250633</v>
      </c>
      <c r="D69" s="157">
        <f>'Scenarios technology'!AD191/1000</f>
        <v>2.7583459480918591</v>
      </c>
      <c r="E69" s="157">
        <f>'Scenarios technology'!AD331/1000</f>
        <v>2.728427023004631</v>
      </c>
      <c r="F69" s="157">
        <f>(E69+G69)/2</f>
        <v>2.7416384342773208</v>
      </c>
      <c r="G69" s="187">
        <f>'Scenarios technology'!AD471/1000</f>
        <v>2.7548498455500101</v>
      </c>
      <c r="H69" s="934">
        <f t="shared" si="35"/>
        <v>1</v>
      </c>
      <c r="I69" s="935">
        <f t="shared" si="35"/>
        <v>1.0148920175931799</v>
      </c>
      <c r="J69" s="935">
        <f t="shared" si="35"/>
        <v>1.0042689233990476</v>
      </c>
      <c r="K69" s="935">
        <f t="shared" si="35"/>
        <v>1.0089598026996252</v>
      </c>
      <c r="L69" s="936">
        <f t="shared" si="35"/>
        <v>1.0136506820002023</v>
      </c>
    </row>
    <row r="70" spans="2:12" ht="16.5" thickBot="1" x14ac:dyDescent="0.3">
      <c r="B70" s="185" t="s">
        <v>0</v>
      </c>
      <c r="C70" s="1300">
        <f>'Scenarios technology'!AD56/1000</f>
        <v>134.08176976608823</v>
      </c>
      <c r="D70" s="1301">
        <f>'Scenarios technology'!AD196/1000</f>
        <v>144.56945532414713</v>
      </c>
      <c r="E70" s="1301">
        <f>'Scenarios technology'!AD336/1000</f>
        <v>152.77020597626469</v>
      </c>
      <c r="F70" s="1301">
        <f>SUM(F65:F69)</f>
        <v>157.45498513662261</v>
      </c>
      <c r="G70" s="1301">
        <f>'Scenarios technology'!AD476/1000</f>
        <v>162.13976429698047</v>
      </c>
      <c r="H70" s="280">
        <v>1</v>
      </c>
      <c r="I70" s="281">
        <f t="shared" ref="I70:J70" si="36">D70/$C70</f>
        <v>1.0782185794262349</v>
      </c>
      <c r="J70" s="281">
        <f t="shared" si="36"/>
        <v>1.139380888563593</v>
      </c>
      <c r="K70" s="279">
        <f>F70/$C70</f>
        <v>1.1743206060847051</v>
      </c>
      <c r="L70" s="282">
        <f>G70/$C70</f>
        <v>1.2092603236058168</v>
      </c>
    </row>
    <row r="71" spans="2:12" x14ac:dyDescent="0.25">
      <c r="B71" s="8"/>
      <c r="C71" s="176"/>
      <c r="D71" s="176"/>
      <c r="E71" s="176"/>
      <c r="G71" s="1567"/>
      <c r="I71" s="192"/>
      <c r="J71" s="192"/>
      <c r="L71" s="192"/>
    </row>
    <row r="72" spans="2:12" x14ac:dyDescent="0.25">
      <c r="G72" s="176"/>
    </row>
    <row r="73" spans="2:12" ht="15.75" thickBot="1" x14ac:dyDescent="0.3">
      <c r="G73" s="176"/>
    </row>
    <row r="74" spans="2:12" ht="18.75" x14ac:dyDescent="0.3">
      <c r="B74" s="213" t="s">
        <v>148</v>
      </c>
      <c r="C74" s="100">
        <v>2010</v>
      </c>
      <c r="D74" s="163">
        <v>2020</v>
      </c>
      <c r="E74" s="163">
        <v>2030</v>
      </c>
      <c r="F74" s="163">
        <v>2040</v>
      </c>
      <c r="G74" s="923">
        <v>2050</v>
      </c>
      <c r="H74" s="100">
        <v>2010</v>
      </c>
      <c r="I74" s="929">
        <v>2020</v>
      </c>
      <c r="J74" s="929">
        <v>2030</v>
      </c>
      <c r="K74" s="929">
        <v>2040</v>
      </c>
      <c r="L74" s="930">
        <v>2050</v>
      </c>
    </row>
    <row r="75" spans="2:12" ht="16.5" thickBot="1" x14ac:dyDescent="0.3">
      <c r="B75" s="184" t="s">
        <v>14</v>
      </c>
      <c r="C75" s="45" t="s">
        <v>42</v>
      </c>
      <c r="D75" s="43" t="s">
        <v>42</v>
      </c>
      <c r="E75" s="43" t="s">
        <v>42</v>
      </c>
      <c r="F75" s="43" t="s">
        <v>42</v>
      </c>
      <c r="G75" s="926" t="s">
        <v>42</v>
      </c>
      <c r="H75" s="65" t="s">
        <v>146</v>
      </c>
      <c r="I75" s="42" t="s">
        <v>146</v>
      </c>
      <c r="J75" s="42" t="s">
        <v>146</v>
      </c>
      <c r="K75" s="42" t="s">
        <v>146</v>
      </c>
      <c r="L75" s="66" t="s">
        <v>146</v>
      </c>
    </row>
    <row r="76" spans="2:12" ht="15.75" x14ac:dyDescent="0.25">
      <c r="B76" s="933" t="s">
        <v>18</v>
      </c>
      <c r="C76" s="186">
        <f>'Scenarios technology'!AD85/1000</f>
        <v>40.564999999999998</v>
      </c>
      <c r="D76" s="157">
        <f>'Scenarios technology'!AD225/1000</f>
        <v>43.573929304048157</v>
      </c>
      <c r="E76" s="157">
        <f>'Scenarios technology'!AD365/1000</f>
        <v>46.806047454559014</v>
      </c>
      <c r="F76" s="157">
        <f>(E76+G76)/2</f>
        <v>50.286278831379846</v>
      </c>
      <c r="G76" s="157">
        <f>'Scenarios technology'!AD505/1000</f>
        <v>53.766510208200671</v>
      </c>
      <c r="H76" s="283">
        <f t="shared" ref="H76:L85" si="37">(C76+0.1)/($C76+0.1)</f>
        <v>1</v>
      </c>
      <c r="I76" s="284">
        <f t="shared" si="37"/>
        <v>1.0739930973576333</v>
      </c>
      <c r="J76" s="284">
        <f t="shared" si="37"/>
        <v>1.1534746699756306</v>
      </c>
      <c r="K76" s="284">
        <f t="shared" si="37"/>
        <v>1.2390576375600602</v>
      </c>
      <c r="L76" s="285">
        <f t="shared" si="37"/>
        <v>1.3246406051444897</v>
      </c>
    </row>
    <row r="77" spans="2:12" ht="15.75" x14ac:dyDescent="0.25">
      <c r="B77" s="178" t="s">
        <v>15</v>
      </c>
      <c r="C77" s="186">
        <f>'Scenarios technology'!AD61/1000</f>
        <v>23.966248098916282</v>
      </c>
      <c r="D77" s="157">
        <f>'Scenarios technology'!AD201/1000</f>
        <v>25.954410377540899</v>
      </c>
      <c r="E77" s="157">
        <f>'Scenarios technology'!AD341/1000</f>
        <v>27.47025535625367</v>
      </c>
      <c r="F77" s="157">
        <f t="shared" ref="F77:F85" si="38">(E77+G77)/2</f>
        <v>28.636419959920683</v>
      </c>
      <c r="G77" s="157">
        <f>'Scenarios technology'!AD481/1000</f>
        <v>29.802584563587697</v>
      </c>
      <c r="H77" s="286">
        <f t="shared" si="37"/>
        <v>1</v>
      </c>
      <c r="I77" s="287">
        <f t="shared" si="37"/>
        <v>1.0826120577853657</v>
      </c>
      <c r="J77" s="287">
        <f t="shared" si="37"/>
        <v>1.1455984016675693</v>
      </c>
      <c r="K77" s="287">
        <f t="shared" si="37"/>
        <v>1.1940548373726232</v>
      </c>
      <c r="L77" s="288">
        <f t="shared" si="37"/>
        <v>1.2425112730776771</v>
      </c>
    </row>
    <row r="78" spans="2:12" ht="15.75" x14ac:dyDescent="0.25">
      <c r="B78" s="179" t="s">
        <v>16</v>
      </c>
      <c r="C78" s="186">
        <f>'Scenarios technology'!AD73/1000</f>
        <v>16.357653895896952</v>
      </c>
      <c r="D78" s="157">
        <f>'Scenarios technology'!AD213/1000</f>
        <v>15.756227355682668</v>
      </c>
      <c r="E78" s="157">
        <f>'Scenarios technology'!AD353/1000</f>
        <v>14.896967814403675</v>
      </c>
      <c r="F78" s="157">
        <f t="shared" si="38"/>
        <v>14.682797727359478</v>
      </c>
      <c r="G78" s="157">
        <f>'Scenarios technology'!AD493/1000</f>
        <v>14.468627640315283</v>
      </c>
      <c r="H78" s="286">
        <f t="shared" si="37"/>
        <v>1</v>
      </c>
      <c r="I78" s="287">
        <f t="shared" si="37"/>
        <v>0.96345611932182951</v>
      </c>
      <c r="J78" s="287">
        <f t="shared" si="37"/>
        <v>0.91124578930065836</v>
      </c>
      <c r="K78" s="287">
        <f t="shared" si="37"/>
        <v>0.89823238602951583</v>
      </c>
      <c r="L78" s="288">
        <f t="shared" si="37"/>
        <v>0.88521898275837341</v>
      </c>
    </row>
    <row r="79" spans="2:12" ht="15.75" x14ac:dyDescent="0.25">
      <c r="B79" s="179" t="s">
        <v>24</v>
      </c>
      <c r="C79" s="186">
        <f>'Scenarios technology'!AD103/1000</f>
        <v>6.7254065477477476E-2</v>
      </c>
      <c r="D79" s="157">
        <f>'Scenarios technology'!AD243/1000</f>
        <v>5.8696738738738749E-2</v>
      </c>
      <c r="E79" s="157">
        <f>'Scenarios technology'!AD383/1000</f>
        <v>5.5125045045045042E-2</v>
      </c>
      <c r="F79" s="157">
        <f t="shared" si="38"/>
        <v>5.511752252252252E-2</v>
      </c>
      <c r="G79" s="157">
        <f>'Scenarios technology'!AD523/1000</f>
        <v>5.5109999999999999E-2</v>
      </c>
      <c r="H79" s="286">
        <f t="shared" si="37"/>
        <v>1</v>
      </c>
      <c r="I79" s="287">
        <f t="shared" si="37"/>
        <v>0.94883636033414642</v>
      </c>
      <c r="J79" s="287">
        <f t="shared" si="37"/>
        <v>0.92748146122603081</v>
      </c>
      <c r="K79" s="287">
        <f t="shared" si="37"/>
        <v>0.92743648460617378</v>
      </c>
      <c r="L79" s="288">
        <f t="shared" si="37"/>
        <v>0.92739150798631675</v>
      </c>
    </row>
    <row r="80" spans="2:12" ht="15.75" x14ac:dyDescent="0.25">
      <c r="B80" s="179" t="s">
        <v>75</v>
      </c>
      <c r="C80" s="186">
        <f>'Scenarios technology'!AD109/1000</f>
        <v>0.10583999999999999</v>
      </c>
      <c r="D80" s="157">
        <f>'Scenarios technology'!AD249/1000</f>
        <v>0.1328636466936069</v>
      </c>
      <c r="E80" s="157">
        <f>'Scenarios technology'!AD389/1000</f>
        <v>0.16678711841197658</v>
      </c>
      <c r="F80" s="157">
        <f t="shared" si="38"/>
        <v>0.188215030655974</v>
      </c>
      <c r="G80" s="157">
        <f>'Scenarios technology'!AD529/1000</f>
        <v>0.20964294289997143</v>
      </c>
      <c r="H80" s="286">
        <f t="shared" si="37"/>
        <v>1</v>
      </c>
      <c r="I80" s="287">
        <f t="shared" si="37"/>
        <v>1.1312847196541338</v>
      </c>
      <c r="J80" s="287">
        <f t="shared" si="37"/>
        <v>1.2960897707538699</v>
      </c>
      <c r="K80" s="287">
        <f t="shared" si="37"/>
        <v>1.4001896164786922</v>
      </c>
      <c r="L80" s="288">
        <f t="shared" si="37"/>
        <v>1.5042894622035146</v>
      </c>
    </row>
    <row r="81" spans="2:12" ht="15.75" x14ac:dyDescent="0.25">
      <c r="B81" s="180" t="s">
        <v>19</v>
      </c>
      <c r="C81" s="186">
        <f>'Scenarios technology'!AD115/1000</f>
        <v>1.19556E-2</v>
      </c>
      <c r="D81" s="157">
        <f>'Scenarios technology'!AD255/1000</f>
        <v>1.0922144582081185E-2</v>
      </c>
      <c r="E81" s="157">
        <f>'Scenarios technology'!AD395/1000</f>
        <v>8.9241873309126845E-3</v>
      </c>
      <c r="F81" s="157">
        <f t="shared" si="38"/>
        <v>7.4410229672329034E-3</v>
      </c>
      <c r="G81" s="157">
        <f>'Scenarios technology'!AD535/1000</f>
        <v>5.9578586035531232E-3</v>
      </c>
      <c r="H81" s="286">
        <f t="shared" si="37"/>
        <v>1</v>
      </c>
      <c r="I81" s="287">
        <f t="shared" si="37"/>
        <v>0.99076906007454013</v>
      </c>
      <c r="J81" s="287">
        <f t="shared" si="37"/>
        <v>0.9729230813904145</v>
      </c>
      <c r="K81" s="287">
        <f t="shared" si="37"/>
        <v>0.95967529062622059</v>
      </c>
      <c r="L81" s="288">
        <f t="shared" si="37"/>
        <v>0.94642749986202679</v>
      </c>
    </row>
    <row r="82" spans="2:12" ht="15.75" x14ac:dyDescent="0.25">
      <c r="B82" s="179" t="s">
        <v>147</v>
      </c>
      <c r="C82" s="186">
        <f>'Scenarios technology'!AD119/1000</f>
        <v>6.3504000000000005</v>
      </c>
      <c r="D82" s="157">
        <f>'Scenarios technology'!AD259/1000</f>
        <v>7.2827258802074049</v>
      </c>
      <c r="E82" s="157">
        <f>'Scenarios technology'!AD399/1000</f>
        <v>7.4698358380587928</v>
      </c>
      <c r="F82" s="157">
        <f t="shared" si="38"/>
        <v>6.869071816025258</v>
      </c>
      <c r="G82" s="157">
        <f>'Scenarios technology'!AD539/1000</f>
        <v>6.268307793991724</v>
      </c>
      <c r="H82" s="286">
        <f t="shared" si="37"/>
        <v>1</v>
      </c>
      <c r="I82" s="287">
        <f t="shared" si="37"/>
        <v>1.1445376845168369</v>
      </c>
      <c r="J82" s="287">
        <f t="shared" si="37"/>
        <v>1.1735451813932147</v>
      </c>
      <c r="K82" s="287">
        <f t="shared" si="37"/>
        <v>1.0804092484226184</v>
      </c>
      <c r="L82" s="288">
        <f t="shared" si="37"/>
        <v>0.98727331545202213</v>
      </c>
    </row>
    <row r="83" spans="2:12" ht="15.75" x14ac:dyDescent="0.25">
      <c r="B83" s="180" t="s">
        <v>21</v>
      </c>
      <c r="C83" s="186">
        <f>'Scenarios technology'!AD123/1000</f>
        <v>0.46988000000000002</v>
      </c>
      <c r="D83" s="157">
        <f>'Scenarios technology'!AD263/1000</f>
        <v>0.47950473654922166</v>
      </c>
      <c r="E83" s="157">
        <f>'Scenarios technology'!AD403/1000</f>
        <v>0.47665931030863562</v>
      </c>
      <c r="F83" s="157">
        <f t="shared" si="38"/>
        <v>0.48016799360056805</v>
      </c>
      <c r="G83" s="157">
        <f>'Scenarios technology'!AD543/1000</f>
        <v>0.48367667689250043</v>
      </c>
      <c r="H83" s="286">
        <f t="shared" si="37"/>
        <v>1</v>
      </c>
      <c r="I83" s="287">
        <f t="shared" si="37"/>
        <v>1.0168890583091557</v>
      </c>
      <c r="J83" s="287">
        <f t="shared" si="37"/>
        <v>1.0118960312848944</v>
      </c>
      <c r="K83" s="287">
        <f t="shared" si="37"/>
        <v>1.0180529121930371</v>
      </c>
      <c r="L83" s="288">
        <f t="shared" si="37"/>
        <v>1.02420979310118</v>
      </c>
    </row>
    <row r="84" spans="2:12" ht="15.75" x14ac:dyDescent="0.25">
      <c r="B84" s="179" t="s">
        <v>22</v>
      </c>
      <c r="C84" s="186">
        <f>'Scenarios technology'!AD128/1000</f>
        <v>3.2405314285714284</v>
      </c>
      <c r="D84" s="157">
        <f>'Scenarios technology'!AD268/1000</f>
        <v>3.7767243086831508</v>
      </c>
      <c r="E84" s="157">
        <f>'Scenarios technology'!AD408/1000</f>
        <v>4.2876918595976123</v>
      </c>
      <c r="F84" s="157">
        <f t="shared" si="38"/>
        <v>4.6309736138317668</v>
      </c>
      <c r="G84" s="157">
        <f>'Scenarios technology'!AD548/1000</f>
        <v>4.9742553680659221</v>
      </c>
      <c r="H84" s="286">
        <f t="shared" si="37"/>
        <v>1</v>
      </c>
      <c r="I84" s="287">
        <f t="shared" si="37"/>
        <v>1.1605112514510976</v>
      </c>
      <c r="J84" s="287">
        <f t="shared" si="37"/>
        <v>1.3134712106193234</v>
      </c>
      <c r="K84" s="287">
        <f t="shared" si="37"/>
        <v>1.4162338283567528</v>
      </c>
      <c r="L84" s="288">
        <f t="shared" si="37"/>
        <v>1.5189964460941823</v>
      </c>
    </row>
    <row r="85" spans="2:12" ht="16.5" thickBot="1" x14ac:dyDescent="0.3">
      <c r="B85" s="179" t="s">
        <v>111</v>
      </c>
      <c r="C85" s="186">
        <f>'Scenarios technology'!AD133/1000</f>
        <v>27.795157894736839</v>
      </c>
      <c r="D85" s="157">
        <f>'Scenarios technology'!AD273/1000</f>
        <v>25.137442572039451</v>
      </c>
      <c r="E85" s="157">
        <f>'Scenarios technology'!AD413/1000</f>
        <v>20.560088673123033</v>
      </c>
      <c r="F85" s="157">
        <f t="shared" si="38"/>
        <v>17.157103674565356</v>
      </c>
      <c r="G85" s="157">
        <f>'Scenarios technology'!AD553/1000</f>
        <v>13.754118676007678</v>
      </c>
      <c r="H85" s="934">
        <f t="shared" si="37"/>
        <v>1</v>
      </c>
      <c r="I85" s="935">
        <f t="shared" si="37"/>
        <v>0.90472485107536038</v>
      </c>
      <c r="J85" s="935">
        <f t="shared" si="37"/>
        <v>0.7406335089080498</v>
      </c>
      <c r="K85" s="935">
        <f t="shared" si="37"/>
        <v>0.61864154846104547</v>
      </c>
      <c r="L85" s="936">
        <f t="shared" si="37"/>
        <v>0.49664958801404113</v>
      </c>
    </row>
    <row r="86" spans="2:12" ht="16.5" thickBot="1" x14ac:dyDescent="0.3">
      <c r="B86" s="181" t="s">
        <v>0</v>
      </c>
      <c r="C86" s="1300">
        <f>'Scenarios technology'!AD141/1000</f>
        <v>118.92992098359898</v>
      </c>
      <c r="D86" s="1301">
        <f>'Scenarios technology'!AD281/1000</f>
        <v>122.16344706476538</v>
      </c>
      <c r="E86" s="1301">
        <f>'Scenarios technology'!AD421/1000</f>
        <v>122.19838265709238</v>
      </c>
      <c r="F86" s="1301">
        <f>SUM(F75:F85)</f>
        <v>122.99358719282867</v>
      </c>
      <c r="G86" s="1301">
        <f>'Scenarios technology'!AD561/1000</f>
        <v>123.78879172856502</v>
      </c>
      <c r="H86" s="937">
        <v>1</v>
      </c>
      <c r="I86" s="938">
        <f t="shared" ref="I86:J86" si="39">D86/$C86</f>
        <v>1.0271884993652045</v>
      </c>
      <c r="J86" s="938">
        <f t="shared" si="39"/>
        <v>1.0274822487601261</v>
      </c>
      <c r="K86" s="935">
        <f>F86/$C86</f>
        <v>1.034168577390967</v>
      </c>
      <c r="L86" s="939">
        <f t="shared" ref="L86" si="40">G86/$C86</f>
        <v>1.0408549060218084</v>
      </c>
    </row>
    <row r="87" spans="2:12" x14ac:dyDescent="0.25">
      <c r="F87" s="70"/>
      <c r="G87" s="70"/>
      <c r="H87" s="931"/>
      <c r="J87" s="931"/>
    </row>
    <row r="88" spans="2:12" x14ac:dyDescent="0.25">
      <c r="F88" s="70"/>
      <c r="G88" s="70"/>
      <c r="H88" s="931"/>
      <c r="J88" s="931"/>
    </row>
    <row r="89" spans="2:12" x14ac:dyDescent="0.25">
      <c r="F89" s="70"/>
      <c r="G89" s="70"/>
      <c r="H89" s="931"/>
      <c r="J89" s="931"/>
    </row>
    <row r="90" spans="2:12" x14ac:dyDescent="0.25">
      <c r="F90" s="70"/>
      <c r="G90" s="70"/>
      <c r="H90" s="931"/>
      <c r="J90" s="931"/>
    </row>
    <row r="120" s="956" customFormat="1" x14ac:dyDescent="0.25"/>
    <row r="123" s="956" customFormat="1" x14ac:dyDescent="0.25"/>
    <row r="132" s="956" customFormat="1" x14ac:dyDescent="0.25"/>
    <row r="134" s="956" customFormat="1" x14ac:dyDescent="0.25"/>
    <row r="137" s="956" customFormat="1" x14ac:dyDescent="0.25"/>
    <row r="147" s="956" customFormat="1" x14ac:dyDescent="0.25"/>
    <row r="150" s="956" customFormat="1" x14ac:dyDescent="0.25"/>
    <row r="165" s="956" customFormat="1" x14ac:dyDescent="0.25"/>
    <row r="177" spans="1:6" x14ac:dyDescent="0.25">
      <c r="B177" s="73"/>
      <c r="C177" s="274"/>
      <c r="D177" s="274"/>
      <c r="E177" s="274"/>
      <c r="F177" s="274"/>
    </row>
    <row r="178" spans="1:6" x14ac:dyDescent="0.25">
      <c r="B178" s="73"/>
      <c r="C178" s="274"/>
      <c r="D178" s="274"/>
      <c r="E178" s="274"/>
      <c r="F178" s="274"/>
    </row>
    <row r="179" spans="1:6" x14ac:dyDescent="0.25">
      <c r="A179" s="274">
        <f>'Scenarios technology'!D104</f>
        <v>28.39</v>
      </c>
      <c r="B179" s="73"/>
      <c r="C179" s="274"/>
      <c r="D179" s="274"/>
      <c r="E179" s="274"/>
      <c r="F179" s="274"/>
    </row>
    <row r="183" spans="1:6" x14ac:dyDescent="0.25">
      <c r="B183" s="73"/>
      <c r="C183" s="274"/>
      <c r="D183" s="274"/>
      <c r="E183" s="274"/>
      <c r="F183" s="274"/>
    </row>
    <row r="184" spans="1:6" x14ac:dyDescent="0.25">
      <c r="B184" s="73"/>
      <c r="C184" s="274"/>
      <c r="D184" s="274"/>
      <c r="E184" s="274"/>
      <c r="F184" s="274"/>
    </row>
    <row r="186" spans="1:6" x14ac:dyDescent="0.25">
      <c r="B186" s="73"/>
      <c r="C186" s="274"/>
      <c r="D186" s="274"/>
      <c r="E186" s="274"/>
      <c r="F186" s="274"/>
    </row>
    <row r="187" spans="1:6" x14ac:dyDescent="0.25">
      <c r="B187" s="73"/>
      <c r="C187" s="274"/>
      <c r="D187" s="274"/>
      <c r="E187" s="274"/>
      <c r="F187" s="274"/>
    </row>
    <row r="188" spans="1:6" x14ac:dyDescent="0.25">
      <c r="B188" s="73"/>
      <c r="C188" s="274"/>
      <c r="D188" s="274"/>
      <c r="E188" s="274"/>
      <c r="F188" s="274"/>
    </row>
    <row r="189" spans="1:6" x14ac:dyDescent="0.25">
      <c r="B189" s="73"/>
      <c r="C189" s="274"/>
      <c r="D189" s="274"/>
      <c r="E189" s="274"/>
      <c r="F189" s="274"/>
    </row>
    <row r="191" spans="1:6" x14ac:dyDescent="0.25">
      <c r="B191" s="73"/>
      <c r="C191" s="274"/>
      <c r="D191" s="274"/>
      <c r="E191" s="274"/>
      <c r="F191" s="274"/>
    </row>
    <row r="192" spans="1:6" x14ac:dyDescent="0.25">
      <c r="B192" s="73"/>
      <c r="C192" s="274"/>
      <c r="D192" s="274"/>
      <c r="E192" s="274"/>
      <c r="F192" s="274"/>
    </row>
    <row r="193" spans="2:6" x14ac:dyDescent="0.25">
      <c r="B193" s="73"/>
      <c r="C193" s="274"/>
      <c r="D193" s="274"/>
      <c r="E193" s="274"/>
      <c r="F193" s="274"/>
    </row>
    <row r="195" spans="2:6" x14ac:dyDescent="0.25">
      <c r="B195" s="73"/>
      <c r="C195" s="274"/>
      <c r="D195" s="274"/>
      <c r="E195" s="274"/>
      <c r="F195" s="274"/>
    </row>
    <row r="196" spans="2:6" x14ac:dyDescent="0.25">
      <c r="B196" s="73"/>
      <c r="C196" s="274"/>
      <c r="D196" s="274"/>
      <c r="E196" s="274"/>
      <c r="F196" s="274"/>
    </row>
    <row r="197" spans="2:6" x14ac:dyDescent="0.25">
      <c r="B197" s="73"/>
      <c r="C197" s="274"/>
      <c r="D197" s="274"/>
      <c r="E197" s="274"/>
      <c r="F197" s="274"/>
    </row>
    <row r="199" spans="2:6" x14ac:dyDescent="0.25">
      <c r="B199" s="73"/>
      <c r="C199" s="274"/>
      <c r="D199" s="274"/>
      <c r="E199" s="274"/>
      <c r="F199" s="274"/>
    </row>
    <row r="200" spans="2:6" x14ac:dyDescent="0.25">
      <c r="B200" s="73"/>
      <c r="C200" s="274"/>
      <c r="D200" s="274"/>
      <c r="E200" s="274"/>
      <c r="F200" s="274"/>
    </row>
    <row r="201" spans="2:6" x14ac:dyDescent="0.25">
      <c r="B201" s="73"/>
      <c r="C201" s="274"/>
      <c r="D201" s="274"/>
      <c r="E201" s="274"/>
      <c r="F201" s="274"/>
    </row>
    <row r="202" spans="2:6" x14ac:dyDescent="0.25">
      <c r="B202" s="73"/>
      <c r="C202" s="274"/>
      <c r="D202" s="274"/>
      <c r="E202" s="274"/>
      <c r="F202" s="274"/>
    </row>
    <row r="204" spans="2:6" x14ac:dyDescent="0.25">
      <c r="B204" s="73"/>
      <c r="C204" s="274"/>
      <c r="D204" s="274"/>
      <c r="E204" s="274"/>
      <c r="F204" s="274"/>
    </row>
    <row r="205" spans="2:6" x14ac:dyDescent="0.25">
      <c r="B205" s="73"/>
      <c r="C205" s="274"/>
      <c r="D205" s="274"/>
      <c r="E205" s="274"/>
      <c r="F205" s="274"/>
    </row>
    <row r="206" spans="2:6" x14ac:dyDescent="0.25">
      <c r="B206" s="73"/>
      <c r="C206" s="274"/>
      <c r="D206" s="274"/>
      <c r="E206" s="274"/>
      <c r="F206" s="274"/>
    </row>
    <row r="207" spans="2:6" x14ac:dyDescent="0.25">
      <c r="B207" s="73"/>
      <c r="C207" s="274"/>
      <c r="D207" s="274"/>
      <c r="E207" s="274"/>
      <c r="F207" s="274"/>
    </row>
    <row r="208" spans="2:6" x14ac:dyDescent="0.25">
      <c r="B208" s="73"/>
      <c r="C208" s="274"/>
      <c r="D208" s="274"/>
      <c r="E208" s="274"/>
      <c r="F208" s="274"/>
    </row>
  </sheetData>
  <sheetProtection algorithmName="SHA-512" hashValue="LTdMrt/PZnlD0mUe2M31xDjs5Rb37D+lqB6mq1/XoMGT/0NwrdLu7a1seLPq8urM+QBUYUmJvaGH29bzrMtvGQ==" saltValue="KgDsYjfPj1m9TO/wo/l2xw==" spinCount="100000" sheet="1" objects="1" scenarios="1" selectLockedCells="1" selectUnlockedCells="1"/>
  <mergeCells count="2">
    <mergeCell ref="AL35:AM37"/>
    <mergeCell ref="AL50:AM52"/>
  </mergeCells>
  <conditionalFormatting sqref="H6:L6">
    <cfRule type="colorScale" priority="97">
      <colorScale>
        <cfvo type="min"/>
        <cfvo type="max"/>
        <color rgb="FFFFEF9C"/>
        <color rgb="FF63BE7B"/>
      </colorScale>
    </cfRule>
  </conditionalFormatting>
  <conditionalFormatting sqref="H7:L7">
    <cfRule type="colorScale" priority="96">
      <colorScale>
        <cfvo type="min"/>
        <cfvo type="max"/>
        <color rgb="FFFFEF9C"/>
        <color rgb="FF63BE7B"/>
      </colorScale>
    </cfRule>
  </conditionalFormatting>
  <conditionalFormatting sqref="H8:L8">
    <cfRule type="colorScale" priority="95">
      <colorScale>
        <cfvo type="min"/>
        <cfvo type="max"/>
        <color rgb="FFFFEF9C"/>
        <color rgb="FF63BE7B"/>
      </colorScale>
    </cfRule>
  </conditionalFormatting>
  <conditionalFormatting sqref="H9:L9">
    <cfRule type="colorScale" priority="94">
      <colorScale>
        <cfvo type="min"/>
        <cfvo type="max"/>
        <color rgb="FFFFEF9C"/>
        <color rgb="FF63BE7B"/>
      </colorScale>
    </cfRule>
  </conditionalFormatting>
  <conditionalFormatting sqref="H10:L10">
    <cfRule type="colorScale" priority="93">
      <colorScale>
        <cfvo type="min"/>
        <cfvo type="max"/>
        <color rgb="FFFFEF9C"/>
        <color rgb="FF63BE7B"/>
      </colorScale>
    </cfRule>
  </conditionalFormatting>
  <conditionalFormatting sqref="H12:L12">
    <cfRule type="colorScale" priority="92">
      <colorScale>
        <cfvo type="min"/>
        <cfvo type="max"/>
        <color rgb="FFFFEF9C"/>
        <color rgb="FF63BE7B"/>
      </colorScale>
    </cfRule>
  </conditionalFormatting>
  <conditionalFormatting sqref="H13:L13">
    <cfRule type="colorScale" priority="91">
      <colorScale>
        <cfvo type="min"/>
        <cfvo type="max"/>
        <color rgb="FFFFEF9C"/>
        <color rgb="FF63BE7B"/>
      </colorScale>
    </cfRule>
  </conditionalFormatting>
  <conditionalFormatting sqref="H14:L14">
    <cfRule type="colorScale" priority="90">
      <colorScale>
        <cfvo type="min"/>
        <cfvo type="max"/>
        <color rgb="FFFFEF9C"/>
        <color rgb="FF63BE7B"/>
      </colorScale>
    </cfRule>
  </conditionalFormatting>
  <conditionalFormatting sqref="H15:L15">
    <cfRule type="colorScale" priority="89">
      <colorScale>
        <cfvo type="min"/>
        <cfvo type="max"/>
        <color rgb="FFFFEF9C"/>
        <color rgb="FF63BE7B"/>
      </colorScale>
    </cfRule>
  </conditionalFormatting>
  <conditionalFormatting sqref="H16:L16">
    <cfRule type="colorScale" priority="88">
      <colorScale>
        <cfvo type="min"/>
        <cfvo type="max"/>
        <color rgb="FFFFEF9C"/>
        <color rgb="FF63BE7B"/>
      </colorScale>
    </cfRule>
  </conditionalFormatting>
  <conditionalFormatting sqref="H11:L11">
    <cfRule type="colorScale" priority="87">
      <colorScale>
        <cfvo type="min"/>
        <cfvo type="max"/>
        <color rgb="FFFFEF9C"/>
        <color rgb="FF63BE7B"/>
      </colorScale>
    </cfRule>
  </conditionalFormatting>
  <conditionalFormatting sqref="H17:L17">
    <cfRule type="colorScale" priority="86">
      <colorScale>
        <cfvo type="min"/>
        <cfvo type="max"/>
        <color rgb="FFFFEF9C"/>
        <color rgb="FF63BE7B"/>
      </colorScale>
    </cfRule>
  </conditionalFormatting>
  <conditionalFormatting sqref="H24:L24">
    <cfRule type="colorScale" priority="85">
      <colorScale>
        <cfvo type="min"/>
        <cfvo type="max"/>
        <color rgb="FFFFEF9C"/>
        <color rgb="FF63BE7B"/>
      </colorScale>
    </cfRule>
  </conditionalFormatting>
  <conditionalFormatting sqref="H25:L25">
    <cfRule type="colorScale" priority="84">
      <colorScale>
        <cfvo type="min"/>
        <cfvo type="max"/>
        <color rgb="FFFFEF9C"/>
        <color rgb="FF63BE7B"/>
      </colorScale>
    </cfRule>
  </conditionalFormatting>
  <conditionalFormatting sqref="H26:L26">
    <cfRule type="colorScale" priority="83">
      <colorScale>
        <cfvo type="min"/>
        <cfvo type="max"/>
        <color rgb="FFFFEF9C"/>
        <color rgb="FF63BE7B"/>
      </colorScale>
    </cfRule>
  </conditionalFormatting>
  <conditionalFormatting sqref="H27:L27">
    <cfRule type="colorScale" priority="82">
      <colorScale>
        <cfvo type="min"/>
        <cfvo type="max"/>
        <color rgb="FFFFEF9C"/>
        <color rgb="FF63BE7B"/>
      </colorScale>
    </cfRule>
  </conditionalFormatting>
  <conditionalFormatting sqref="H28:L28">
    <cfRule type="colorScale" priority="81">
      <colorScale>
        <cfvo type="min"/>
        <cfvo type="max"/>
        <color rgb="FFFFEF9C"/>
        <color rgb="FF63BE7B"/>
      </colorScale>
    </cfRule>
  </conditionalFormatting>
  <conditionalFormatting sqref="H30:L30">
    <cfRule type="colorScale" priority="80">
      <colorScale>
        <cfvo type="min"/>
        <cfvo type="max"/>
        <color rgb="FFFFEF9C"/>
        <color rgb="FF63BE7B"/>
      </colorScale>
    </cfRule>
  </conditionalFormatting>
  <conditionalFormatting sqref="H31:L31">
    <cfRule type="colorScale" priority="79">
      <colorScale>
        <cfvo type="min"/>
        <cfvo type="max"/>
        <color rgb="FFFFEF9C"/>
        <color rgb="FF63BE7B"/>
      </colorScale>
    </cfRule>
  </conditionalFormatting>
  <conditionalFormatting sqref="H32:L32">
    <cfRule type="colorScale" priority="78">
      <colorScale>
        <cfvo type="min"/>
        <cfvo type="max"/>
        <color rgb="FFFFEF9C"/>
        <color rgb="FF63BE7B"/>
      </colorScale>
    </cfRule>
  </conditionalFormatting>
  <conditionalFormatting sqref="H33:L33">
    <cfRule type="colorScale" priority="77">
      <colorScale>
        <cfvo type="min"/>
        <cfvo type="max"/>
        <color rgb="FFFFEF9C"/>
        <color rgb="FF63BE7B"/>
      </colorScale>
    </cfRule>
  </conditionalFormatting>
  <conditionalFormatting sqref="H34:L34">
    <cfRule type="colorScale" priority="76">
      <colorScale>
        <cfvo type="min"/>
        <cfvo type="max"/>
        <color rgb="FFFFEF9C"/>
        <color rgb="FF63BE7B"/>
      </colorScale>
    </cfRule>
  </conditionalFormatting>
  <conditionalFormatting sqref="H29:L29">
    <cfRule type="colorScale" priority="75">
      <colorScale>
        <cfvo type="min"/>
        <cfvo type="max"/>
        <color rgb="FFFFEF9C"/>
        <color rgb="FF63BE7B"/>
      </colorScale>
    </cfRule>
  </conditionalFormatting>
  <conditionalFormatting sqref="H35:L35">
    <cfRule type="colorScale" priority="74">
      <colorScale>
        <cfvo type="min"/>
        <cfvo type="max"/>
        <color rgb="FFFFEF9C"/>
        <color rgb="FF63BE7B"/>
      </colorScale>
    </cfRule>
  </conditionalFormatting>
  <conditionalFormatting sqref="H42:L42">
    <cfRule type="colorScale" priority="73">
      <colorScale>
        <cfvo type="min"/>
        <cfvo type="max"/>
        <color rgb="FFFFEF9C"/>
        <color rgb="FF63BE7B"/>
      </colorScale>
    </cfRule>
  </conditionalFormatting>
  <conditionalFormatting sqref="H43:L43">
    <cfRule type="colorScale" priority="72">
      <colorScale>
        <cfvo type="min"/>
        <cfvo type="max"/>
        <color rgb="FFFFEF9C"/>
        <color rgb="FF63BE7B"/>
      </colorScale>
    </cfRule>
  </conditionalFormatting>
  <conditionalFormatting sqref="H44:L44">
    <cfRule type="colorScale" priority="71">
      <colorScale>
        <cfvo type="min"/>
        <cfvo type="max"/>
        <color rgb="FFFFEF9C"/>
        <color rgb="FF63BE7B"/>
      </colorScale>
    </cfRule>
  </conditionalFormatting>
  <conditionalFormatting sqref="H45:L45">
    <cfRule type="colorScale" priority="70">
      <colorScale>
        <cfvo type="min"/>
        <cfvo type="max"/>
        <color rgb="FFFFEF9C"/>
        <color rgb="FF63BE7B"/>
      </colorScale>
    </cfRule>
  </conditionalFormatting>
  <conditionalFormatting sqref="H46:L46">
    <cfRule type="colorScale" priority="69">
      <colorScale>
        <cfvo type="min"/>
        <cfvo type="max"/>
        <color rgb="FFFFEF9C"/>
        <color rgb="FF63BE7B"/>
      </colorScale>
    </cfRule>
  </conditionalFormatting>
  <conditionalFormatting sqref="H48:L48">
    <cfRule type="colorScale" priority="68">
      <colorScale>
        <cfvo type="min"/>
        <cfvo type="max"/>
        <color rgb="FFFFEF9C"/>
        <color rgb="FF63BE7B"/>
      </colorScale>
    </cfRule>
  </conditionalFormatting>
  <conditionalFormatting sqref="H49:L49">
    <cfRule type="colorScale" priority="67">
      <colorScale>
        <cfvo type="min"/>
        <cfvo type="max"/>
        <color rgb="FFFFEF9C"/>
        <color rgb="FF63BE7B"/>
      </colorScale>
    </cfRule>
  </conditionalFormatting>
  <conditionalFormatting sqref="H50:L50">
    <cfRule type="colorScale" priority="66">
      <colorScale>
        <cfvo type="min"/>
        <cfvo type="max"/>
        <color rgb="FFFFEF9C"/>
        <color rgb="FF63BE7B"/>
      </colorScale>
    </cfRule>
  </conditionalFormatting>
  <conditionalFormatting sqref="H51:L51">
    <cfRule type="colorScale" priority="65">
      <colorScale>
        <cfvo type="min"/>
        <cfvo type="max"/>
        <color rgb="FFFFEF9C"/>
        <color rgb="FF63BE7B"/>
      </colorScale>
    </cfRule>
  </conditionalFormatting>
  <conditionalFormatting sqref="H52:L52">
    <cfRule type="colorScale" priority="64">
      <colorScale>
        <cfvo type="min"/>
        <cfvo type="max"/>
        <color rgb="FFFFEF9C"/>
        <color rgb="FF63BE7B"/>
      </colorScale>
    </cfRule>
  </conditionalFormatting>
  <conditionalFormatting sqref="H47:L47">
    <cfRule type="colorScale" priority="63">
      <colorScale>
        <cfvo type="min"/>
        <cfvo type="max"/>
        <color rgb="FFFFEF9C"/>
        <color rgb="FF63BE7B"/>
      </colorScale>
    </cfRule>
  </conditionalFormatting>
  <conditionalFormatting sqref="H53:L53">
    <cfRule type="colorScale" priority="62">
      <colorScale>
        <cfvo type="min"/>
        <cfvo type="max"/>
        <color rgb="FFFFEF9C"/>
        <color rgb="FF63BE7B"/>
      </colorScale>
    </cfRule>
  </conditionalFormatting>
  <conditionalFormatting sqref="H65:L65">
    <cfRule type="colorScale" priority="61">
      <colorScale>
        <cfvo type="min"/>
        <cfvo type="max"/>
        <color rgb="FFFFEF9C"/>
        <color rgb="FF63BE7B"/>
      </colorScale>
    </cfRule>
  </conditionalFormatting>
  <conditionalFormatting sqref="H66:L66">
    <cfRule type="colorScale" priority="60">
      <colorScale>
        <cfvo type="min"/>
        <cfvo type="max"/>
        <color rgb="FFFFEF9C"/>
        <color rgb="FF63BE7B"/>
      </colorScale>
    </cfRule>
  </conditionalFormatting>
  <conditionalFormatting sqref="H67:L67">
    <cfRule type="colorScale" priority="59">
      <colorScale>
        <cfvo type="min"/>
        <cfvo type="max"/>
        <color rgb="FFFFEF9C"/>
        <color rgb="FF63BE7B"/>
      </colorScale>
    </cfRule>
  </conditionalFormatting>
  <conditionalFormatting sqref="H68:L68">
    <cfRule type="colorScale" priority="58">
      <colorScale>
        <cfvo type="min"/>
        <cfvo type="max"/>
        <color rgb="FFFFEF9C"/>
        <color rgb="FF63BE7B"/>
      </colorScale>
    </cfRule>
  </conditionalFormatting>
  <conditionalFormatting sqref="H69:L69">
    <cfRule type="colorScale" priority="57">
      <colorScale>
        <cfvo type="min"/>
        <cfvo type="max"/>
        <color rgb="FFFFEF9C"/>
        <color rgb="FF63BE7B"/>
      </colorScale>
    </cfRule>
  </conditionalFormatting>
  <conditionalFormatting sqref="H76:L76">
    <cfRule type="colorScale" priority="56">
      <colorScale>
        <cfvo type="min"/>
        <cfvo type="max"/>
        <color rgb="FFFFEF9C"/>
        <color rgb="FF63BE7B"/>
      </colorScale>
    </cfRule>
  </conditionalFormatting>
  <conditionalFormatting sqref="H77:L77">
    <cfRule type="colorScale" priority="55">
      <colorScale>
        <cfvo type="min"/>
        <cfvo type="max"/>
        <color rgb="FFFFEF9C"/>
        <color rgb="FF63BE7B"/>
      </colorScale>
    </cfRule>
  </conditionalFormatting>
  <conditionalFormatting sqref="H78:L78">
    <cfRule type="colorScale" priority="54">
      <colorScale>
        <cfvo type="min"/>
        <cfvo type="max"/>
        <color rgb="FFFFEF9C"/>
        <color rgb="FF63BE7B"/>
      </colorScale>
    </cfRule>
  </conditionalFormatting>
  <conditionalFormatting sqref="H79:L79">
    <cfRule type="colorScale" priority="53">
      <colorScale>
        <cfvo type="min"/>
        <cfvo type="max"/>
        <color rgb="FFFFEF9C"/>
        <color rgb="FF63BE7B"/>
      </colorScale>
    </cfRule>
  </conditionalFormatting>
  <conditionalFormatting sqref="H80:L80">
    <cfRule type="colorScale" priority="52">
      <colorScale>
        <cfvo type="min"/>
        <cfvo type="max"/>
        <color rgb="FFFFEF9C"/>
        <color rgb="FF63BE7B"/>
      </colorScale>
    </cfRule>
  </conditionalFormatting>
  <conditionalFormatting sqref="H81:L81">
    <cfRule type="colorScale" priority="51">
      <colorScale>
        <cfvo type="min"/>
        <cfvo type="max"/>
        <color rgb="FFFFEF9C"/>
        <color rgb="FF63BE7B"/>
      </colorScale>
    </cfRule>
  </conditionalFormatting>
  <conditionalFormatting sqref="H82:L82">
    <cfRule type="colorScale" priority="50">
      <colorScale>
        <cfvo type="min"/>
        <cfvo type="max"/>
        <color rgb="FFFFEF9C"/>
        <color rgb="FF63BE7B"/>
      </colorScale>
    </cfRule>
  </conditionalFormatting>
  <conditionalFormatting sqref="H83:L83">
    <cfRule type="colorScale" priority="49">
      <colorScale>
        <cfvo type="min"/>
        <cfvo type="max"/>
        <color rgb="FFFFEF9C"/>
        <color rgb="FF63BE7B"/>
      </colorScale>
    </cfRule>
  </conditionalFormatting>
  <conditionalFormatting sqref="H84:L84">
    <cfRule type="colorScale" priority="48">
      <colorScale>
        <cfvo type="min"/>
        <cfvo type="max"/>
        <color rgb="FFFFEF9C"/>
        <color rgb="FF63BE7B"/>
      </colorScale>
    </cfRule>
  </conditionalFormatting>
  <conditionalFormatting sqref="H85:L85">
    <cfRule type="colorScale" priority="47">
      <colorScale>
        <cfvo type="min"/>
        <cfvo type="max"/>
        <color rgb="FFFFEF9C"/>
        <color rgb="FF63BE7B"/>
      </colorScale>
    </cfRule>
  </conditionalFormatting>
  <conditionalFormatting sqref="AG7:AK7">
    <cfRule type="colorScale" priority="46">
      <colorScale>
        <cfvo type="min"/>
        <cfvo type="max"/>
        <color rgb="FFFFEF9C"/>
        <color rgb="FF63BE7B"/>
      </colorScale>
    </cfRule>
  </conditionalFormatting>
  <conditionalFormatting sqref="AG8:AK8">
    <cfRule type="colorScale" priority="45">
      <colorScale>
        <cfvo type="min"/>
        <cfvo type="max"/>
        <color rgb="FFFFEF9C"/>
        <color rgb="FF63BE7B"/>
      </colorScale>
    </cfRule>
  </conditionalFormatting>
  <conditionalFormatting sqref="AG9:AK9">
    <cfRule type="colorScale" priority="44">
      <colorScale>
        <cfvo type="min"/>
        <cfvo type="max"/>
        <color rgb="FFFFEF9C"/>
        <color rgb="FF63BE7B"/>
      </colorScale>
    </cfRule>
  </conditionalFormatting>
  <conditionalFormatting sqref="AG10:AK10">
    <cfRule type="colorScale" priority="43">
      <colorScale>
        <cfvo type="min"/>
        <cfvo type="max"/>
        <color rgb="FFFFEF9C"/>
        <color rgb="FF63BE7B"/>
      </colorScale>
    </cfRule>
  </conditionalFormatting>
  <conditionalFormatting sqref="AG11:AK11">
    <cfRule type="colorScale" priority="42">
      <colorScale>
        <cfvo type="min"/>
        <cfvo type="max"/>
        <color rgb="FFFFEF9C"/>
        <color rgb="FF63BE7B"/>
      </colorScale>
    </cfRule>
  </conditionalFormatting>
  <conditionalFormatting sqref="AG12:AK12">
    <cfRule type="colorScale" priority="41">
      <colorScale>
        <cfvo type="min"/>
        <cfvo type="max"/>
        <color rgb="FFFFEF9C"/>
        <color rgb="FF63BE7B"/>
      </colorScale>
    </cfRule>
  </conditionalFormatting>
  <conditionalFormatting sqref="AG13:AK13">
    <cfRule type="colorScale" priority="40">
      <colorScale>
        <cfvo type="min"/>
        <cfvo type="max"/>
        <color rgb="FFFFEF9C"/>
        <color rgb="FF63BE7B"/>
      </colorScale>
    </cfRule>
  </conditionalFormatting>
  <conditionalFormatting sqref="AG14:AK14">
    <cfRule type="colorScale" priority="39">
      <colorScale>
        <cfvo type="min"/>
        <cfvo type="max"/>
        <color rgb="FFFFEF9C"/>
        <color rgb="FF63BE7B"/>
      </colorScale>
    </cfRule>
  </conditionalFormatting>
  <conditionalFormatting sqref="AG15:AK15">
    <cfRule type="colorScale" priority="38">
      <colorScale>
        <cfvo type="min"/>
        <cfvo type="max"/>
        <color rgb="FFFFEF9C"/>
        <color rgb="FF63BE7B"/>
      </colorScale>
    </cfRule>
  </conditionalFormatting>
  <conditionalFormatting sqref="AG21:AK21">
    <cfRule type="colorScale" priority="36">
      <colorScale>
        <cfvo type="min"/>
        <cfvo type="max"/>
        <color rgb="FFFFEF9C"/>
        <color rgb="FF63BE7B"/>
      </colorScale>
    </cfRule>
  </conditionalFormatting>
  <conditionalFormatting sqref="AG22:AK22">
    <cfRule type="colorScale" priority="35">
      <colorScale>
        <cfvo type="min"/>
        <cfvo type="max"/>
        <color rgb="FFFFEF9C"/>
        <color rgb="FF63BE7B"/>
      </colorScale>
    </cfRule>
  </conditionalFormatting>
  <conditionalFormatting sqref="AG23:AK23">
    <cfRule type="colorScale" priority="34">
      <colorScale>
        <cfvo type="min"/>
        <cfvo type="max"/>
        <color rgb="FFFFEF9C"/>
        <color rgb="FF63BE7B"/>
      </colorScale>
    </cfRule>
  </conditionalFormatting>
  <conditionalFormatting sqref="AG24:AK24">
    <cfRule type="colorScale" priority="33">
      <colorScale>
        <cfvo type="min"/>
        <cfvo type="max"/>
        <color rgb="FFFFEF9C"/>
        <color rgb="FF63BE7B"/>
      </colorScale>
    </cfRule>
  </conditionalFormatting>
  <conditionalFormatting sqref="AG25:AK25">
    <cfRule type="colorScale" priority="32">
      <colorScale>
        <cfvo type="min"/>
        <cfvo type="max"/>
        <color rgb="FFFFEF9C"/>
        <color rgb="FF63BE7B"/>
      </colorScale>
    </cfRule>
  </conditionalFormatting>
  <conditionalFormatting sqref="AG26:AK26">
    <cfRule type="colorScale" priority="31">
      <colorScale>
        <cfvo type="min"/>
        <cfvo type="max"/>
        <color rgb="FFFFEF9C"/>
        <color rgb="FF63BE7B"/>
      </colorScale>
    </cfRule>
  </conditionalFormatting>
  <conditionalFormatting sqref="AG27:AK27">
    <cfRule type="colorScale" priority="30">
      <colorScale>
        <cfvo type="min"/>
        <cfvo type="max"/>
        <color rgb="FFFFEF9C"/>
        <color rgb="FF63BE7B"/>
      </colorScale>
    </cfRule>
  </conditionalFormatting>
  <conditionalFormatting sqref="AG28:AK28">
    <cfRule type="colorScale" priority="29">
      <colorScale>
        <cfvo type="min"/>
        <cfvo type="max"/>
        <color rgb="FFFFEF9C"/>
        <color rgb="FF63BE7B"/>
      </colorScale>
    </cfRule>
  </conditionalFormatting>
  <conditionalFormatting sqref="AG29:AK29">
    <cfRule type="colorScale" priority="28">
      <colorScale>
        <cfvo type="min"/>
        <cfvo type="max"/>
        <color rgb="FFFFEF9C"/>
        <color rgb="FF63BE7B"/>
      </colorScale>
    </cfRule>
  </conditionalFormatting>
  <conditionalFormatting sqref="AG35:AK35">
    <cfRule type="colorScale" priority="27">
      <colorScale>
        <cfvo type="min"/>
        <cfvo type="max"/>
        <color rgb="FFFFEF9C"/>
        <color rgb="FF63BE7B"/>
      </colorScale>
    </cfRule>
  </conditionalFormatting>
  <conditionalFormatting sqref="AG36:AK36">
    <cfRule type="colorScale" priority="26">
      <colorScale>
        <cfvo type="min"/>
        <cfvo type="max"/>
        <color rgb="FFFFEF9C"/>
        <color rgb="FF63BE7B"/>
      </colorScale>
    </cfRule>
  </conditionalFormatting>
  <conditionalFormatting sqref="AG37:AK37">
    <cfRule type="colorScale" priority="25">
      <colorScale>
        <cfvo type="min"/>
        <cfvo type="max"/>
        <color rgb="FFFFEF9C"/>
        <color rgb="FF63BE7B"/>
      </colorScale>
    </cfRule>
  </conditionalFormatting>
  <conditionalFormatting sqref="AG38:AK38">
    <cfRule type="colorScale" priority="24">
      <colorScale>
        <cfvo type="min"/>
        <cfvo type="max"/>
        <color rgb="FFFFEF9C"/>
        <color rgb="FF63BE7B"/>
      </colorScale>
    </cfRule>
  </conditionalFormatting>
  <conditionalFormatting sqref="AG39:AK39">
    <cfRule type="colorScale" priority="23">
      <colorScale>
        <cfvo type="min"/>
        <cfvo type="max"/>
        <color rgb="FFFFEF9C"/>
        <color rgb="FF63BE7B"/>
      </colorScale>
    </cfRule>
  </conditionalFormatting>
  <conditionalFormatting sqref="AG40:AK40">
    <cfRule type="colorScale" priority="22">
      <colorScale>
        <cfvo type="min"/>
        <cfvo type="max"/>
        <color rgb="FFFFEF9C"/>
        <color rgb="FF63BE7B"/>
      </colorScale>
    </cfRule>
  </conditionalFormatting>
  <conditionalFormatting sqref="AG41:AK41">
    <cfRule type="colorScale" priority="21">
      <colorScale>
        <cfvo type="min"/>
        <cfvo type="max"/>
        <color rgb="FFFFEF9C"/>
        <color rgb="FF63BE7B"/>
      </colorScale>
    </cfRule>
  </conditionalFormatting>
  <conditionalFormatting sqref="AG42:AK42">
    <cfRule type="colorScale" priority="20">
      <colorScale>
        <cfvo type="min"/>
        <cfvo type="max"/>
        <color rgb="FFFFEF9C"/>
        <color rgb="FF63BE7B"/>
      </colorScale>
    </cfRule>
  </conditionalFormatting>
  <conditionalFormatting sqref="AG43:AK43">
    <cfRule type="colorScale" priority="19">
      <colorScale>
        <cfvo type="min"/>
        <cfvo type="max"/>
        <color rgb="FFFFEF9C"/>
        <color rgb="FF63BE7B"/>
      </colorScale>
    </cfRule>
  </conditionalFormatting>
  <conditionalFormatting sqref="AG50:AK50">
    <cfRule type="colorScale" priority="9">
      <colorScale>
        <cfvo type="min"/>
        <cfvo type="max"/>
        <color rgb="FFFFEF9C"/>
        <color rgb="FF63BE7B"/>
      </colorScale>
    </cfRule>
  </conditionalFormatting>
  <conditionalFormatting sqref="AG51:AK51">
    <cfRule type="colorScale" priority="8">
      <colorScale>
        <cfvo type="min"/>
        <cfvo type="max"/>
        <color rgb="FFFFEF9C"/>
        <color rgb="FF63BE7B"/>
      </colorScale>
    </cfRule>
  </conditionalFormatting>
  <conditionalFormatting sqref="AG52:AK52">
    <cfRule type="colorScale" priority="7">
      <colorScale>
        <cfvo type="min"/>
        <cfvo type="max"/>
        <color rgb="FFFFEF9C"/>
        <color rgb="FF63BE7B"/>
      </colorScale>
    </cfRule>
  </conditionalFormatting>
  <conditionalFormatting sqref="AG53:AK53">
    <cfRule type="colorScale" priority="6">
      <colorScale>
        <cfvo type="min"/>
        <cfvo type="max"/>
        <color rgb="FFFFEF9C"/>
        <color rgb="FF63BE7B"/>
      </colorScale>
    </cfRule>
  </conditionalFormatting>
  <conditionalFormatting sqref="AG54:AK54">
    <cfRule type="colorScale" priority="5">
      <colorScale>
        <cfvo type="min"/>
        <cfvo type="max"/>
        <color rgb="FFFFEF9C"/>
        <color rgb="FF63BE7B"/>
      </colorScale>
    </cfRule>
  </conditionalFormatting>
  <conditionalFormatting sqref="AG55:AK55">
    <cfRule type="colorScale" priority="4">
      <colorScale>
        <cfvo type="min"/>
        <cfvo type="max"/>
        <color rgb="FFFFEF9C"/>
        <color rgb="FF63BE7B"/>
      </colorScale>
    </cfRule>
  </conditionalFormatting>
  <conditionalFormatting sqref="AG56:AK56">
    <cfRule type="colorScale" priority="3">
      <colorScale>
        <cfvo type="min"/>
        <cfvo type="max"/>
        <color rgb="FFFFEF9C"/>
        <color rgb="FF63BE7B"/>
      </colorScale>
    </cfRule>
  </conditionalFormatting>
  <conditionalFormatting sqref="AG57:AK57">
    <cfRule type="colorScale" priority="2">
      <colorScale>
        <cfvo type="min"/>
        <cfvo type="max"/>
        <color rgb="FFFFEF9C"/>
        <color rgb="FF63BE7B"/>
      </colorScale>
    </cfRule>
  </conditionalFormatting>
  <conditionalFormatting sqref="AG58:AK58">
    <cfRule type="colorScale" priority="1">
      <colorScale>
        <cfvo type="min"/>
        <cfvo type="max"/>
        <color rgb="FFFFEF9C"/>
        <color rgb="FF63BE7B"/>
      </colorScale>
    </cfRule>
  </conditionalFormatting>
  <pageMargins left="0.7" right="0.7" top="0.75" bottom="0.75" header="0.3" footer="0.3"/>
  <pageSetup paperSize="9" orientation="portrait"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DU737"/>
  <sheetViews>
    <sheetView topLeftCell="A16" zoomScale="70" zoomScaleNormal="70" workbookViewId="0">
      <selection activeCell="CV57" sqref="CV57"/>
    </sheetView>
  </sheetViews>
  <sheetFormatPr defaultRowHeight="15" x14ac:dyDescent="0.25"/>
  <cols>
    <col min="1" max="1" width="1.140625" style="7" customWidth="1"/>
    <col min="2" max="2" width="6.85546875" style="7" customWidth="1"/>
    <col min="3" max="3" width="40.85546875" style="329" customWidth="1"/>
    <col min="4" max="4" width="11.85546875" style="517" bestFit="1" customWidth="1"/>
    <col min="5" max="5" width="10.28515625" style="782" bestFit="1" customWidth="1"/>
    <col min="6" max="6" width="15" style="346" bestFit="1" customWidth="1"/>
    <col min="7" max="7" width="8" style="346" bestFit="1" customWidth="1"/>
    <col min="8" max="8" width="14.140625" style="818" bestFit="1" customWidth="1"/>
    <col min="9" max="9" width="18" style="517" bestFit="1" customWidth="1"/>
    <col min="10" max="10" width="10.28515625" style="793" bestFit="1" customWidth="1"/>
    <col min="11" max="11" width="12.85546875" style="346" bestFit="1" customWidth="1"/>
    <col min="12" max="12" width="11.28515625" style="346" bestFit="1" customWidth="1"/>
    <col min="13" max="13" width="11.85546875" style="517" bestFit="1" customWidth="1"/>
    <col min="14" max="14" width="10.28515625" style="782" bestFit="1" customWidth="1"/>
    <col min="15" max="15" width="21.140625" style="346" bestFit="1" customWidth="1"/>
    <col min="16" max="16" width="11.85546875" style="517" bestFit="1" customWidth="1"/>
    <col min="17" max="17" width="10.28515625" style="793" bestFit="1" customWidth="1"/>
    <col min="18" max="18" width="11.85546875" style="517" bestFit="1" customWidth="1"/>
    <col min="19" max="19" width="10.28515625" style="793" bestFit="1" customWidth="1"/>
    <col min="20" max="20" width="22.7109375" style="517" customWidth="1"/>
    <col min="21" max="21" width="75.7109375" style="346" bestFit="1" customWidth="1"/>
    <col min="22" max="22" width="30.5703125" style="928" customWidth="1"/>
    <col min="23" max="23" width="13.42578125" style="530" customWidth="1"/>
    <col min="24" max="24" width="24" style="346" customWidth="1"/>
    <col min="25" max="25" width="22.28515625" style="346" customWidth="1"/>
    <col min="26" max="26" width="11.28515625" style="346" customWidth="1"/>
    <col min="27" max="27" width="11.140625" style="346" customWidth="1"/>
    <col min="28" max="28" width="9.7109375" style="346" customWidth="1"/>
    <col min="29" max="29" width="13.140625" style="346" customWidth="1"/>
    <col min="30" max="30" width="20.5703125" style="517" customWidth="1"/>
    <col min="31" max="31" width="22.85546875" style="517" customWidth="1"/>
    <col min="32" max="34" width="14.7109375" style="517" customWidth="1"/>
    <col min="35" max="35" width="15.7109375" style="517" customWidth="1"/>
    <col min="36" max="39" width="14.7109375" style="517" customWidth="1"/>
    <col min="40" max="40" width="18.140625" style="517" customWidth="1"/>
    <col min="41" max="41" width="25.85546875" style="517" customWidth="1"/>
    <col min="42" max="42" width="26.85546875" style="517" customWidth="1"/>
    <col min="43" max="43" width="18.85546875" style="517" customWidth="1"/>
    <col min="44" max="44" width="14" style="517" customWidth="1"/>
    <col min="45" max="45" width="33.5703125" style="7" customWidth="1"/>
    <col min="46" max="46" width="49.7109375" style="7" customWidth="1"/>
    <col min="47" max="47" width="13.7109375" style="7" bestFit="1" customWidth="1"/>
    <col min="48" max="48" width="8.85546875" style="7" customWidth="1"/>
    <col min="49" max="49" width="15.42578125" style="7" bestFit="1" customWidth="1"/>
    <col min="50" max="50" width="8.85546875" style="7" customWidth="1"/>
    <col min="51" max="51" width="13.7109375" style="7" bestFit="1" customWidth="1"/>
    <col min="52" max="52" width="11.85546875" style="7" customWidth="1"/>
    <col min="53" max="53" width="17.28515625" style="7" customWidth="1"/>
    <col min="54" max="54" width="24.5703125" style="7" customWidth="1"/>
    <col min="55" max="55" width="10.5703125" style="7" customWidth="1"/>
    <col min="56" max="56" width="11.7109375" style="7" customWidth="1"/>
    <col min="57" max="57" width="10.5703125" style="7" customWidth="1"/>
    <col min="58" max="61" width="9.140625" style="7" customWidth="1"/>
    <col min="62" max="62" width="10.140625" style="7" customWidth="1"/>
    <col min="63" max="63" width="9.140625" style="7" customWidth="1"/>
    <col min="64" max="16384" width="9.140625" style="7"/>
  </cols>
  <sheetData>
    <row r="1" spans="2:74" x14ac:dyDescent="0.25">
      <c r="V1" s="346"/>
      <c r="AU1" s="212"/>
      <c r="AV1" s="212"/>
      <c r="AW1" s="212"/>
      <c r="AX1" s="212"/>
      <c r="AY1" s="212"/>
      <c r="AZ1" s="212"/>
    </row>
    <row r="2" spans="2:74" ht="15.75" thickBot="1" x14ac:dyDescent="0.3">
      <c r="C2" s="7"/>
      <c r="V2" s="346"/>
      <c r="AU2" s="1298"/>
      <c r="AV2" s="1298"/>
      <c r="AW2" s="1298"/>
      <c r="AX2" s="1298"/>
      <c r="AY2" s="1298"/>
      <c r="AZ2" s="1298"/>
    </row>
    <row r="3" spans="2:74" ht="19.5" thickBot="1" x14ac:dyDescent="0.3">
      <c r="C3" s="1382" t="s">
        <v>482</v>
      </c>
      <c r="D3" s="1907" t="s">
        <v>309</v>
      </c>
      <c r="E3" s="1908"/>
      <c r="F3" s="1908"/>
      <c r="G3" s="1908"/>
      <c r="H3" s="1908"/>
      <c r="I3" s="1908"/>
      <c r="J3" s="1909"/>
      <c r="K3" s="1907" t="s">
        <v>310</v>
      </c>
      <c r="L3" s="1908"/>
      <c r="M3" s="1908"/>
      <c r="N3" s="1908"/>
      <c r="O3" s="1907" t="s">
        <v>308</v>
      </c>
      <c r="P3" s="1908"/>
      <c r="Q3" s="1908"/>
      <c r="R3" s="1908"/>
      <c r="S3" s="1909"/>
      <c r="U3" s="849" t="s">
        <v>306</v>
      </c>
      <c r="V3" s="850"/>
      <c r="W3" s="850"/>
      <c r="X3" s="850"/>
      <c r="Y3" s="850"/>
      <c r="Z3" s="850"/>
      <c r="AA3" s="850"/>
      <c r="AB3" s="850"/>
      <c r="AC3" s="850"/>
      <c r="AD3" s="851"/>
      <c r="AE3" s="1901" t="s">
        <v>305</v>
      </c>
      <c r="AF3" s="1902"/>
      <c r="AG3" s="1902"/>
      <c r="AH3" s="1902"/>
      <c r="AI3" s="1902"/>
      <c r="AJ3" s="1902"/>
      <c r="AK3" s="1902"/>
      <c r="AL3" s="1902"/>
      <c r="AM3" s="1902"/>
      <c r="AN3" s="1902"/>
      <c r="AO3" s="1902"/>
      <c r="AP3" s="1902"/>
      <c r="AQ3" s="1903"/>
      <c r="AU3" s="327"/>
      <c r="AV3" s="327"/>
      <c r="AW3" s="327"/>
      <c r="AX3" s="327"/>
      <c r="AY3" s="327"/>
      <c r="AZ3" s="327"/>
    </row>
    <row r="4" spans="2:74" s="47" customFormat="1" ht="63.75" thickBot="1" x14ac:dyDescent="0.3">
      <c r="C4" s="1921" t="s">
        <v>31</v>
      </c>
      <c r="D4" s="1904" t="s">
        <v>66</v>
      </c>
      <c r="E4" s="1905"/>
      <c r="F4" s="326" t="s">
        <v>39</v>
      </c>
      <c r="G4" s="1916" t="s">
        <v>314</v>
      </c>
      <c r="H4" s="1916"/>
      <c r="I4" s="1916" t="s">
        <v>40</v>
      </c>
      <c r="J4" s="1920"/>
      <c r="K4" s="1927" t="s">
        <v>36</v>
      </c>
      <c r="L4" s="1927"/>
      <c r="M4" s="1916" t="s">
        <v>6</v>
      </c>
      <c r="N4" s="1916"/>
      <c r="O4" s="1904" t="s">
        <v>307</v>
      </c>
      <c r="P4" s="1905"/>
      <c r="Q4" s="1905"/>
      <c r="R4" s="1905" t="s">
        <v>66</v>
      </c>
      <c r="S4" s="1906"/>
      <c r="T4" s="518" t="s">
        <v>131</v>
      </c>
      <c r="U4" s="328" t="s">
        <v>304</v>
      </c>
      <c r="V4" s="927" t="s">
        <v>52</v>
      </c>
      <c r="W4" s="712" t="s">
        <v>129</v>
      </c>
      <c r="X4" s="328" t="s">
        <v>256</v>
      </c>
      <c r="Y4" s="328" t="s">
        <v>253</v>
      </c>
      <c r="Z4" s="1905" t="s">
        <v>53</v>
      </c>
      <c r="AA4" s="1905"/>
      <c r="AB4" s="1905"/>
      <c r="AC4" s="328" t="s">
        <v>254</v>
      </c>
      <c r="AD4" s="712" t="s">
        <v>6</v>
      </c>
      <c r="AE4" s="711" t="s">
        <v>41</v>
      </c>
      <c r="AF4" s="712" t="s">
        <v>3</v>
      </c>
      <c r="AG4" s="712" t="s">
        <v>405</v>
      </c>
      <c r="AH4" s="712" t="s">
        <v>409</v>
      </c>
      <c r="AI4" s="712" t="s">
        <v>421</v>
      </c>
      <c r="AJ4" s="712" t="s">
        <v>43</v>
      </c>
      <c r="AK4" s="712" t="s">
        <v>74</v>
      </c>
      <c r="AL4" s="712" t="s">
        <v>68</v>
      </c>
      <c r="AM4" s="712" t="s">
        <v>78</v>
      </c>
      <c r="AN4" s="712" t="s">
        <v>81</v>
      </c>
      <c r="AO4" s="712" t="s">
        <v>82</v>
      </c>
      <c r="AP4" s="712" t="s">
        <v>94</v>
      </c>
      <c r="AQ4" s="656" t="s">
        <v>404</v>
      </c>
      <c r="AR4" s="518" t="s">
        <v>131</v>
      </c>
      <c r="AT4" s="1962" t="s">
        <v>214</v>
      </c>
      <c r="AU4" s="165" t="s">
        <v>46</v>
      </c>
      <c r="AV4" s="165">
        <v>10</v>
      </c>
      <c r="AW4" s="165" t="s">
        <v>47</v>
      </c>
      <c r="AX4" s="165">
        <v>10</v>
      </c>
      <c r="AY4" s="165" t="s">
        <v>48</v>
      </c>
      <c r="AZ4" s="165">
        <v>20</v>
      </c>
      <c r="BA4" s="71" t="s">
        <v>158</v>
      </c>
      <c r="BD4" s="1965" t="s">
        <v>496</v>
      </c>
      <c r="BE4" s="1966"/>
      <c r="BF4" s="1966"/>
      <c r="BG4" s="1966"/>
      <c r="BH4" s="1966"/>
      <c r="BI4" s="1967"/>
      <c r="BK4" s="1965" t="s">
        <v>497</v>
      </c>
      <c r="BL4" s="1966"/>
      <c r="BM4" s="1966"/>
      <c r="BN4" s="1966"/>
      <c r="BO4" s="1966"/>
      <c r="BP4" s="1967"/>
      <c r="BR4" s="1648"/>
      <c r="BS4" s="1968" t="s">
        <v>498</v>
      </c>
      <c r="BT4" s="1969"/>
      <c r="BU4" s="1970"/>
      <c r="BV4" s="1649" t="s">
        <v>499</v>
      </c>
    </row>
    <row r="5" spans="2:74" s="41" customFormat="1" ht="16.5" thickBot="1" x14ac:dyDescent="0.3">
      <c r="B5" s="1913">
        <v>2010</v>
      </c>
      <c r="C5" s="1922"/>
      <c r="D5" s="690" t="s">
        <v>288</v>
      </c>
      <c r="E5" s="783" t="s">
        <v>1</v>
      </c>
      <c r="F5" s="348" t="s">
        <v>284</v>
      </c>
      <c r="G5" s="349" t="s">
        <v>1</v>
      </c>
      <c r="H5" s="819" t="s">
        <v>284</v>
      </c>
      <c r="I5" s="746" t="s">
        <v>286</v>
      </c>
      <c r="J5" s="794" t="s">
        <v>1</v>
      </c>
      <c r="K5" s="348" t="s">
        <v>59</v>
      </c>
      <c r="L5" s="348" t="s">
        <v>65</v>
      </c>
      <c r="M5" s="690" t="s">
        <v>2</v>
      </c>
      <c r="N5" s="783" t="s">
        <v>1</v>
      </c>
      <c r="O5" s="350" t="s">
        <v>51</v>
      </c>
      <c r="P5" s="746" t="s">
        <v>2</v>
      </c>
      <c r="Q5" s="808" t="s">
        <v>287</v>
      </c>
      <c r="R5" s="746" t="s">
        <v>288</v>
      </c>
      <c r="S5" s="794" t="s">
        <v>1</v>
      </c>
      <c r="T5" s="519"/>
      <c r="U5" s="348"/>
      <c r="V5" s="350" t="s">
        <v>58</v>
      </c>
      <c r="W5" s="746" t="s">
        <v>130</v>
      </c>
      <c r="X5" s="348" t="s">
        <v>103</v>
      </c>
      <c r="Y5" s="348" t="s">
        <v>255</v>
      </c>
      <c r="Z5" s="349" t="s">
        <v>102</v>
      </c>
      <c r="AA5" s="349" t="s">
        <v>54</v>
      </c>
      <c r="AB5" s="348" t="s">
        <v>55</v>
      </c>
      <c r="AC5" s="349" t="s">
        <v>59</v>
      </c>
      <c r="AD5" s="746" t="s">
        <v>89</v>
      </c>
      <c r="AE5" s="713" t="s">
        <v>2</v>
      </c>
      <c r="AF5" s="714" t="s">
        <v>2</v>
      </c>
      <c r="AG5" s="714" t="s">
        <v>2</v>
      </c>
      <c r="AH5" s="714" t="s">
        <v>2</v>
      </c>
      <c r="AI5" s="714" t="s">
        <v>2</v>
      </c>
      <c r="AJ5" s="714" t="s">
        <v>2</v>
      </c>
      <c r="AK5" s="714" t="s">
        <v>2</v>
      </c>
      <c r="AL5" s="714" t="s">
        <v>2</v>
      </c>
      <c r="AM5" s="714" t="s">
        <v>2</v>
      </c>
      <c r="AN5" s="714" t="s">
        <v>2</v>
      </c>
      <c r="AO5" s="714" t="s">
        <v>2</v>
      </c>
      <c r="AP5" s="714" t="s">
        <v>2</v>
      </c>
      <c r="AQ5" s="715" t="s">
        <v>2</v>
      </c>
      <c r="AR5" s="519"/>
      <c r="AT5" s="1963"/>
      <c r="AU5" s="42" t="s">
        <v>49</v>
      </c>
      <c r="AV5" s="43" t="s">
        <v>157</v>
      </c>
      <c r="AW5" s="43" t="s">
        <v>49</v>
      </c>
      <c r="AX5" s="43" t="s">
        <v>157</v>
      </c>
      <c r="AY5" s="43" t="s">
        <v>49</v>
      </c>
      <c r="AZ5" s="43" t="s">
        <v>157</v>
      </c>
      <c r="BA5" s="146" t="s">
        <v>133</v>
      </c>
      <c r="BD5" s="1650" t="s">
        <v>454</v>
      </c>
      <c r="BE5" s="1651">
        <v>2010</v>
      </c>
      <c r="BF5" s="1652">
        <v>2020</v>
      </c>
      <c r="BG5" s="1653">
        <v>2030</v>
      </c>
      <c r="BH5" s="1652">
        <v>2040</v>
      </c>
      <c r="BI5" s="1654">
        <v>2050</v>
      </c>
      <c r="BK5" s="1650" t="s">
        <v>454</v>
      </c>
      <c r="BL5" s="1651">
        <v>2010</v>
      </c>
      <c r="BM5" s="1652">
        <v>2020</v>
      </c>
      <c r="BN5" s="1653">
        <v>2030</v>
      </c>
      <c r="BO5" s="1652">
        <v>2040</v>
      </c>
      <c r="BP5" s="1654">
        <v>2050</v>
      </c>
      <c r="BR5" s="1655" t="s">
        <v>500</v>
      </c>
      <c r="BS5" s="1656" t="s">
        <v>46</v>
      </c>
      <c r="BT5" s="1657" t="s">
        <v>47</v>
      </c>
      <c r="BU5" s="1658" t="s">
        <v>48</v>
      </c>
      <c r="BV5" s="1659" t="s">
        <v>50</v>
      </c>
    </row>
    <row r="6" spans="2:74" ht="15.75" customHeight="1" thickBot="1" x14ac:dyDescent="0.3">
      <c r="B6" s="1914"/>
      <c r="C6" s="859" t="s">
        <v>317</v>
      </c>
      <c r="D6" s="529">
        <f>D7+D12+D17</f>
        <v>51784.948215000004</v>
      </c>
      <c r="E6" s="545">
        <f t="shared" ref="E6:E17" si="0">D6/$D$56</f>
        <v>0.58064316245344827</v>
      </c>
      <c r="F6" s="354">
        <v>4</v>
      </c>
      <c r="G6" s="355">
        <f>H6/F6</f>
        <v>0.37543528321929193</v>
      </c>
      <c r="H6" s="826">
        <f>((H7*I7)+(H12*I12)+(H17*I17))/(I7+I12+I17)</f>
        <v>1.5017411328771677</v>
      </c>
      <c r="I6" s="529">
        <f>SUM(I7+I12+I17)</f>
        <v>34543.179541107413</v>
      </c>
      <c r="J6" s="356">
        <f>I6/I56</f>
        <v>0.89478794306182186</v>
      </c>
      <c r="K6" s="352">
        <f t="shared" ref="K6:K17" si="1">L6/H6</f>
        <v>1.7695134149951965</v>
      </c>
      <c r="L6" s="1317">
        <f>((L7*I7)+(L12*I12)+(L17*I17))/(I7+I12+I17)</f>
        <v>2.6573510804762321</v>
      </c>
      <c r="M6" s="529">
        <f>M7+M12+M17</f>
        <v>91793.355476646262</v>
      </c>
      <c r="N6" s="545">
        <f t="shared" ref="N6:N17" si="2">M6/$M$56</f>
        <v>0.68460730246792012</v>
      </c>
      <c r="O6" s="667" t="s">
        <v>60</v>
      </c>
      <c r="P6" s="757">
        <f>SUM(P7:P10)</f>
        <v>91793.355476646262</v>
      </c>
      <c r="Q6" s="809">
        <f>SUM(Q7:Q10)</f>
        <v>0.99999999999999989</v>
      </c>
      <c r="R6" s="757">
        <f>SUM(R7:R10)</f>
        <v>51784.948215000011</v>
      </c>
      <c r="S6" s="795">
        <f>SUM(S7:S10)</f>
        <v>1</v>
      </c>
      <c r="T6" s="676">
        <v>2120322</v>
      </c>
      <c r="U6" s="359" t="s">
        <v>56</v>
      </c>
      <c r="V6" s="360"/>
      <c r="W6" s="694"/>
      <c r="X6" s="58"/>
      <c r="Y6" s="600"/>
      <c r="Z6" s="361"/>
      <c r="AA6" s="4"/>
      <c r="AB6" s="4"/>
      <c r="AC6" s="4"/>
      <c r="AD6" s="529">
        <f>SUM(AD7:AD23)</f>
        <v>91793.355476646262</v>
      </c>
      <c r="AE6" s="716"/>
      <c r="AF6" s="717"/>
      <c r="AG6" s="717"/>
      <c r="AH6" s="717"/>
      <c r="AI6" s="717"/>
      <c r="AJ6" s="718"/>
      <c r="AK6" s="718"/>
      <c r="AL6" s="718"/>
      <c r="AM6" s="718"/>
      <c r="AN6" s="718"/>
      <c r="AO6" s="718"/>
      <c r="AP6" s="717"/>
      <c r="AQ6" s="719"/>
      <c r="AR6" s="644">
        <f>SUM(AR7:AR23)</f>
        <v>2120322</v>
      </c>
      <c r="AS6" s="4"/>
      <c r="AT6" s="182" t="s">
        <v>153</v>
      </c>
      <c r="AU6" s="215">
        <v>7.4000000000000003E-3</v>
      </c>
      <c r="AV6" s="217">
        <f t="shared" ref="AV6:AV11" si="3">(1-AU6)^$AV$4</f>
        <v>0.92841619728053781</v>
      </c>
      <c r="AW6" s="215">
        <v>0.01</v>
      </c>
      <c r="AX6" s="217">
        <f>((1-AW6)^AX4)*AV6</f>
        <v>0.83964296696835616</v>
      </c>
      <c r="AY6" s="215">
        <v>4.0000000000000001E-3</v>
      </c>
      <c r="AZ6" s="217">
        <f t="shared" ref="AZ6:AZ11" si="4">((1-AY6)^$AZ$4)*AX6</f>
        <v>0.77496381210755694</v>
      </c>
      <c r="BA6" s="218">
        <f t="shared" ref="BA6:BA11" si="5">1-(((1-AU6)^$AV$4)*((1-AW6)^$AX$4)*((1-AY6)^$AZ$4))</f>
        <v>0.22503618789244306</v>
      </c>
      <c r="BB6" s="39"/>
      <c r="BD6" s="1660" t="str">
        <f>C6</f>
        <v>Cars and vans &lt; 2 t</v>
      </c>
      <c r="BE6" s="1661">
        <f>M6</f>
        <v>91793.355476646262</v>
      </c>
      <c r="BF6" s="1662">
        <f>M146</f>
        <v>97212.619593283409</v>
      </c>
      <c r="BG6" s="1663">
        <f>M286</f>
        <v>102968.99091845901</v>
      </c>
      <c r="BH6" s="1662">
        <f>AVERAGE(BG6,BI6)</f>
        <v>109808.80672338911</v>
      </c>
      <c r="BI6" s="1664">
        <f>M426</f>
        <v>116648.62252831922</v>
      </c>
      <c r="BJ6" s="39"/>
      <c r="BK6" s="1660" t="str">
        <f>BD6</f>
        <v>Cars and vans &lt; 2 t</v>
      </c>
      <c r="BL6" s="1665">
        <f t="shared" ref="BL6:BL17" si="6">K6</f>
        <v>1.7695134149951965</v>
      </c>
      <c r="BM6" s="1666">
        <f t="shared" ref="BM6:BM17" si="7">K146</f>
        <v>1.5088375458419234</v>
      </c>
      <c r="BN6" s="1667">
        <f t="shared" ref="BN6:BN17" si="8">K286</f>
        <v>1.2885312769811545</v>
      </c>
      <c r="BO6" s="1666">
        <f>AVERAGE(BN6,BP6)</f>
        <v>1.2329222519125231</v>
      </c>
      <c r="BP6" s="1668">
        <f t="shared" ref="BP6:BP17" si="9">K426</f>
        <v>1.1773132268438915</v>
      </c>
      <c r="BQ6" s="39"/>
      <c r="BR6" s="1669" t="s">
        <v>447</v>
      </c>
      <c r="BS6" s="1670">
        <f>AU9</f>
        <v>1.4500000000000001E-2</v>
      </c>
      <c r="BT6" s="1671">
        <f>AW9</f>
        <v>1.4500000000000001E-2</v>
      </c>
      <c r="BU6" s="1672">
        <f>AY9</f>
        <v>4.0000000000000001E-3</v>
      </c>
      <c r="BV6" s="1673">
        <f>BA9</f>
        <v>0.3108411449833165</v>
      </c>
    </row>
    <row r="7" spans="2:74" ht="15.75" customHeight="1" thickBot="1" x14ac:dyDescent="0.3">
      <c r="B7" s="1914"/>
      <c r="C7" s="561" t="s">
        <v>105</v>
      </c>
      <c r="D7" s="538">
        <f>51785*0.591849-D17</f>
        <v>28577.500464999997</v>
      </c>
      <c r="E7" s="448">
        <f t="shared" si="0"/>
        <v>0.32042766898444192</v>
      </c>
      <c r="F7" s="55">
        <v>4</v>
      </c>
      <c r="G7" s="58">
        <f>H7/F7</f>
        <v>0.46250000000000002</v>
      </c>
      <c r="H7" s="827">
        <f>((H8*I8)+(H9*I9)+(H10*I10)+(H11*I11))/(I8+I9+I10+I11)</f>
        <v>1.85</v>
      </c>
      <c r="I7" s="694">
        <f>SUM(I8:I11)</f>
        <v>15499.354941387592</v>
      </c>
      <c r="J7" s="366">
        <f>I7/I56</f>
        <v>0.4014869537497322</v>
      </c>
      <c r="K7" s="363">
        <f t="shared" si="1"/>
        <v>1.4588781751443582</v>
      </c>
      <c r="L7" s="363">
        <f>M7/I7</f>
        <v>2.6989246240170628</v>
      </c>
      <c r="M7" s="538">
        <f>SUM(M8:M11)</f>
        <v>41831.59070769151</v>
      </c>
      <c r="N7" s="546">
        <f t="shared" si="2"/>
        <v>0.31198568048447506</v>
      </c>
      <c r="O7" s="380" t="s">
        <v>3</v>
      </c>
      <c r="P7" s="538">
        <f>Q7*M6</f>
        <v>26207.002988582495</v>
      </c>
      <c r="Q7" s="473">
        <f>1-Q8-Q10-Q9</f>
        <v>0.28549999999999986</v>
      </c>
      <c r="R7" s="538">
        <f>S7*D6</f>
        <v>18698.299478688488</v>
      </c>
      <c r="S7" s="365">
        <f>(Q7*Z8)/(Q7*Z8+Q8*Z12+Q9*Z13+Q10*Z14)</f>
        <v>0.36107595205188109</v>
      </c>
      <c r="T7" s="677">
        <f>433743-T10</f>
        <v>428442.19500000001</v>
      </c>
      <c r="U7" s="368" t="s">
        <v>295</v>
      </c>
      <c r="V7" s="294">
        <v>0</v>
      </c>
      <c r="W7" s="694"/>
      <c r="X7" s="602">
        <v>0.37919999999999998</v>
      </c>
      <c r="Y7" s="347">
        <f>AV18</f>
        <v>0.79</v>
      </c>
      <c r="Z7" s="61"/>
      <c r="AA7" s="61">
        <f>1/AB7</f>
        <v>2.0833333333333335</v>
      </c>
      <c r="AB7" s="61">
        <f>X7/Y7</f>
        <v>0.48</v>
      </c>
      <c r="AC7" s="61">
        <f t="shared" ref="AC7" si="10">AB7/$H$6</f>
        <v>0.319628988972536</v>
      </c>
      <c r="AD7" s="694">
        <f t="shared" ref="AD7:AD23" si="11">V7*$I$6*AB7</f>
        <v>0</v>
      </c>
      <c r="AE7" s="720"/>
      <c r="AF7" s="721"/>
      <c r="AG7" s="721"/>
      <c r="AH7" s="721"/>
      <c r="AI7" s="721"/>
      <c r="AJ7" s="721"/>
      <c r="AK7" s="721"/>
      <c r="AL7" s="721"/>
      <c r="AM7" s="721"/>
      <c r="AN7" s="722">
        <f>AD7</f>
        <v>0</v>
      </c>
      <c r="AO7" s="721"/>
      <c r="AP7" s="721"/>
      <c r="AQ7" s="723"/>
      <c r="AR7" s="645">
        <f>V7*T6</f>
        <v>0</v>
      </c>
      <c r="AS7" s="5"/>
      <c r="AT7" s="177" t="s">
        <v>154</v>
      </c>
      <c r="AU7" s="216">
        <v>7.4000000000000003E-3</v>
      </c>
      <c r="AV7" s="217">
        <f t="shared" si="3"/>
        <v>0.92841619728053781</v>
      </c>
      <c r="AW7" s="216">
        <v>0.01</v>
      </c>
      <c r="AX7" s="217">
        <f>((1-AW7)^AX4)*AV7</f>
        <v>0.83964296696835616</v>
      </c>
      <c r="AY7" s="216">
        <v>4.0000000000000001E-3</v>
      </c>
      <c r="AZ7" s="217">
        <f t="shared" si="4"/>
        <v>0.77496381210755694</v>
      </c>
      <c r="BA7" s="218">
        <f t="shared" si="5"/>
        <v>0.22503618789244306</v>
      </c>
      <c r="BD7" s="1674" t="str">
        <f t="shared" ref="BD7:BD17" si="12">C7</f>
        <v>Leisure</v>
      </c>
      <c r="BE7" s="1675">
        <f t="shared" ref="BE7:BE17" si="13">M7</f>
        <v>41831.59070769151</v>
      </c>
      <c r="BF7" s="1676">
        <f t="shared" ref="BF7:BF17" si="14">M147</f>
        <v>43854.199168253552</v>
      </c>
      <c r="BG7" s="1677">
        <f t="shared" ref="BG7:BG17" si="15">M287</f>
        <v>46026.786638877238</v>
      </c>
      <c r="BH7" s="1676">
        <f t="shared" ref="BH7:BH43" si="16">AVERAGE(BG7,BI7)</f>
        <v>49008.103040993905</v>
      </c>
      <c r="BI7" s="1678">
        <f t="shared" ref="BI7:BI17" si="17">M427</f>
        <v>51989.419443110572</v>
      </c>
      <c r="BK7" s="1674" t="str">
        <f t="shared" ref="BK7:BK42" si="18">BD7</f>
        <v>Leisure</v>
      </c>
      <c r="BL7" s="1679">
        <f t="shared" si="6"/>
        <v>1.4588781751443582</v>
      </c>
      <c r="BM7" s="1680">
        <f t="shared" si="7"/>
        <v>1.2391032978493433</v>
      </c>
      <c r="BN7" s="1681">
        <f t="shared" si="8"/>
        <v>1.0543208271957969</v>
      </c>
      <c r="BO7" s="1680">
        <f t="shared" ref="BO7:BO42" si="19">AVERAGE(BN7,BP7)</f>
        <v>1.0066627542870021</v>
      </c>
      <c r="BP7" s="1682">
        <f t="shared" si="9"/>
        <v>0.95900468137820749</v>
      </c>
      <c r="BR7" s="1669" t="s">
        <v>154</v>
      </c>
      <c r="BS7" s="1683">
        <f>AU7</f>
        <v>7.4000000000000003E-3</v>
      </c>
      <c r="BT7" s="1684">
        <f>AW7</f>
        <v>0.01</v>
      </c>
      <c r="BU7" s="1685">
        <f>AY7</f>
        <v>4.0000000000000001E-3</v>
      </c>
      <c r="BV7" s="1673">
        <f>BA7</f>
        <v>0.22503618789244306</v>
      </c>
    </row>
    <row r="8" spans="2:74" ht="15.75" customHeight="1" thickBot="1" x14ac:dyDescent="0.3">
      <c r="B8" s="1914"/>
      <c r="C8" s="562" t="s">
        <v>27</v>
      </c>
      <c r="D8" s="691">
        <f>D7*0.0475</f>
        <v>1357.4312720874998</v>
      </c>
      <c r="E8" s="547">
        <f t="shared" si="0"/>
        <v>1.522031427676099E-2</v>
      </c>
      <c r="F8" s="371">
        <v>4</v>
      </c>
      <c r="G8" s="373">
        <f>H8/F8</f>
        <v>0.46250000000000002</v>
      </c>
      <c r="H8" s="822">
        <v>1.85</v>
      </c>
      <c r="I8" s="691">
        <f>D8/H8</f>
        <v>733.74663356081066</v>
      </c>
      <c r="J8" s="374">
        <f>I8/I56</f>
        <v>1.9006578134798013E-2</v>
      </c>
      <c r="K8" s="369">
        <f t="shared" si="1"/>
        <v>1.8918918918918919</v>
      </c>
      <c r="L8" s="370">
        <v>3.5</v>
      </c>
      <c r="M8" s="691">
        <f>K8*D8</f>
        <v>2568.1132174628374</v>
      </c>
      <c r="N8" s="547">
        <f t="shared" si="2"/>
        <v>1.9153336895792485E-2</v>
      </c>
      <c r="O8" s="380" t="s">
        <v>41</v>
      </c>
      <c r="P8" s="538">
        <f>Q8*M6</f>
        <v>65127.385710680537</v>
      </c>
      <c r="Q8" s="473">
        <f>71.2%-Q9</f>
        <v>0.70950000000000013</v>
      </c>
      <c r="R8" s="538">
        <f>S8*D6</f>
        <v>32868.107303534205</v>
      </c>
      <c r="S8" s="365">
        <f>(Q8*Z12)/(Q7*Z8+Q8*Z12+Q9*Z13+Q10*Z14)</f>
        <v>0.63470387509267878</v>
      </c>
      <c r="T8" s="677">
        <f>1686330-T9</f>
        <v>1681029.1950000001</v>
      </c>
      <c r="U8" s="368" t="s">
        <v>87</v>
      </c>
      <c r="V8" s="375">
        <v>0</v>
      </c>
      <c r="W8" s="694">
        <f>AB8*74</f>
        <v>128.02000000000001</v>
      </c>
      <c r="X8" s="604">
        <v>0.36391478260869564</v>
      </c>
      <c r="Y8" s="347">
        <f>X8/AB8</f>
        <v>0.21035536566976626</v>
      </c>
      <c r="Z8" s="61">
        <f>1/((AB8/42700)/0.84*1000)</f>
        <v>20.732947976878609</v>
      </c>
      <c r="AA8" s="61">
        <f>1/AB8</f>
        <v>0.5780346820809249</v>
      </c>
      <c r="AB8" s="601">
        <v>1.73</v>
      </c>
      <c r="AC8" s="61">
        <f>AB8/$H$6</f>
        <v>1.1519961477551819</v>
      </c>
      <c r="AD8" s="694">
        <f>V8*$I$6*AB8</f>
        <v>0</v>
      </c>
      <c r="AE8" s="725"/>
      <c r="AF8" s="722">
        <f>AD8</f>
        <v>0</v>
      </c>
      <c r="AG8" s="721"/>
      <c r="AH8" s="721"/>
      <c r="AI8" s="721"/>
      <c r="AJ8" s="721"/>
      <c r="AK8" s="721"/>
      <c r="AL8" s="721"/>
      <c r="AM8" s="721"/>
      <c r="AN8" s="721"/>
      <c r="AO8" s="721"/>
      <c r="AP8" s="721"/>
      <c r="AQ8" s="723"/>
      <c r="AR8" s="645">
        <f>V8*T6</f>
        <v>0</v>
      </c>
      <c r="AS8" s="5"/>
      <c r="AT8" s="177" t="s">
        <v>155</v>
      </c>
      <c r="AU8" s="216">
        <v>7.4000000000000003E-3</v>
      </c>
      <c r="AV8" s="217">
        <f t="shared" si="3"/>
        <v>0.92841619728053781</v>
      </c>
      <c r="AW8" s="216">
        <v>0.01</v>
      </c>
      <c r="AX8" s="217">
        <f>((1-AW8)^AX4)*AV8</f>
        <v>0.83964296696835616</v>
      </c>
      <c r="AY8" s="216">
        <v>4.0000000000000001E-3</v>
      </c>
      <c r="AZ8" s="217">
        <f t="shared" si="4"/>
        <v>0.77496381210755694</v>
      </c>
      <c r="BA8" s="218">
        <f t="shared" si="5"/>
        <v>0.22503618789244306</v>
      </c>
      <c r="BD8" s="1674" t="str">
        <f t="shared" si="12"/>
        <v>&lt; 5km</v>
      </c>
      <c r="BE8" s="1675">
        <f t="shared" si="13"/>
        <v>2568.1132174628374</v>
      </c>
      <c r="BF8" s="1676">
        <f t="shared" si="14"/>
        <v>2427.1248377261832</v>
      </c>
      <c r="BG8" s="1677">
        <f t="shared" si="15"/>
        <v>2293.8766631664662</v>
      </c>
      <c r="BH8" s="1676">
        <f t="shared" si="16"/>
        <v>2304.9839230456564</v>
      </c>
      <c r="BI8" s="1678">
        <f t="shared" si="17"/>
        <v>2316.0911829248466</v>
      </c>
      <c r="BK8" s="1674" t="str">
        <f t="shared" si="18"/>
        <v>&lt; 5km</v>
      </c>
      <c r="BL8" s="1679">
        <f t="shared" si="6"/>
        <v>1.8918918918918919</v>
      </c>
      <c r="BM8" s="1680">
        <f t="shared" si="7"/>
        <v>1.6347923700850124</v>
      </c>
      <c r="BN8" s="1681">
        <f t="shared" si="8"/>
        <v>1.4126315064523196</v>
      </c>
      <c r="BO8" s="1680">
        <f t="shared" si="19"/>
        <v>1.3582227782419416</v>
      </c>
      <c r="BP8" s="1682">
        <f t="shared" si="9"/>
        <v>1.3038140500315634</v>
      </c>
      <c r="BR8" s="1669" t="s">
        <v>144</v>
      </c>
      <c r="BS8" s="1683">
        <f>AU6</f>
        <v>7.4000000000000003E-3</v>
      </c>
      <c r="BT8" s="1684">
        <f>AW6</f>
        <v>0.01</v>
      </c>
      <c r="BU8" s="1685">
        <f>AY6</f>
        <v>4.0000000000000001E-3</v>
      </c>
      <c r="BV8" s="1673">
        <f>BA6</f>
        <v>0.22503618789244306</v>
      </c>
    </row>
    <row r="9" spans="2:74" ht="15.75" customHeight="1" thickBot="1" x14ac:dyDescent="0.3">
      <c r="B9" s="1915"/>
      <c r="C9" s="562" t="s">
        <v>28</v>
      </c>
      <c r="D9" s="691">
        <f>D7*0.2892</f>
        <v>8264.6131344779988</v>
      </c>
      <c r="E9" s="547">
        <f t="shared" si="0"/>
        <v>9.2667681870300583E-2</v>
      </c>
      <c r="F9" s="371">
        <v>4</v>
      </c>
      <c r="G9" s="373">
        <f t="shared" ref="G9:G16" si="20">H9/F9</f>
        <v>0.46250000000000002</v>
      </c>
      <c r="H9" s="823">
        <v>1.85</v>
      </c>
      <c r="I9" s="691">
        <f>D9/H9</f>
        <v>4467.358451069188</v>
      </c>
      <c r="J9" s="374">
        <f>I9/I56</f>
        <v>0.11572005045439125</v>
      </c>
      <c r="K9" s="369">
        <f t="shared" si="1"/>
        <v>1.8918918918918919</v>
      </c>
      <c r="L9" s="376">
        <v>3.5</v>
      </c>
      <c r="M9" s="691">
        <f>K9*D9</f>
        <v>15635.75457874216</v>
      </c>
      <c r="N9" s="547">
        <f t="shared" si="2"/>
        <v>0.11661357958448816</v>
      </c>
      <c r="O9" s="911" t="s">
        <v>43</v>
      </c>
      <c r="P9" s="912">
        <f>Q9*M6</f>
        <v>229.48338869161566</v>
      </c>
      <c r="Q9" s="913">
        <v>2.5000000000000001E-3</v>
      </c>
      <c r="R9" s="912">
        <f>S9*D6</f>
        <v>74.364435193331502</v>
      </c>
      <c r="S9" s="914">
        <f>Q9*Z13/(Q7*Z8+Q8*Z12+Q9*Z13+Q10*Z14)</f>
        <v>1.4360241297256167E-3</v>
      </c>
      <c r="T9" s="677">
        <f>Q9*T6</f>
        <v>5300.8050000000003</v>
      </c>
      <c r="U9" s="368" t="s">
        <v>88</v>
      </c>
      <c r="V9" s="375">
        <v>0</v>
      </c>
      <c r="W9" s="694">
        <f>AB9*74</f>
        <v>92.374199999999988</v>
      </c>
      <c r="X9" s="61">
        <f>X16</f>
        <v>0.36391478260869564</v>
      </c>
      <c r="Y9" s="347">
        <f>X9/AB9</f>
        <v>0.291528304581187</v>
      </c>
      <c r="Z9" s="61">
        <f>1/((AB9/42700)/0.84*1000)</f>
        <v>28.733477529440048</v>
      </c>
      <c r="AA9" s="601">
        <f>100/(3.8*0.75*43.8)</f>
        <v>0.80108948169510552</v>
      </c>
      <c r="AB9" s="61">
        <f>1/AA9</f>
        <v>1.2482999999999997</v>
      </c>
      <c r="AC9" s="61">
        <f>AB9/$H$6</f>
        <v>0.83123513944670135</v>
      </c>
      <c r="AD9" s="694">
        <f>V9*$I$6*AB9</f>
        <v>0</v>
      </c>
      <c r="AE9" s="720"/>
      <c r="AF9" s="722">
        <f>AD9</f>
        <v>0</v>
      </c>
      <c r="AG9" s="721"/>
      <c r="AH9" s="721"/>
      <c r="AI9" s="721"/>
      <c r="AJ9" s="721"/>
      <c r="AK9" s="721"/>
      <c r="AL9" s="721"/>
      <c r="AM9" s="721"/>
      <c r="AN9" s="721"/>
      <c r="AO9" s="721"/>
      <c r="AP9" s="721"/>
      <c r="AQ9" s="723"/>
      <c r="AR9" s="645">
        <f>V9*T6</f>
        <v>0</v>
      </c>
      <c r="AS9" s="5"/>
      <c r="AT9" s="177" t="s">
        <v>316</v>
      </c>
      <c r="AU9" s="84">
        <v>1.4500000000000001E-2</v>
      </c>
      <c r="AV9" s="217">
        <f t="shared" si="3"/>
        <v>0.86410453847350666</v>
      </c>
      <c r="AW9" s="84">
        <v>1.4500000000000001E-2</v>
      </c>
      <c r="AX9" s="217">
        <f>((1-AW9)^AX4)*AV9</f>
        <v>0.74667665341051193</v>
      </c>
      <c r="AY9" s="84">
        <v>4.0000000000000001E-3</v>
      </c>
      <c r="AZ9" s="217">
        <f t="shared" si="4"/>
        <v>0.6891588550166835</v>
      </c>
      <c r="BA9" s="218">
        <f t="shared" si="5"/>
        <v>0.3108411449833165</v>
      </c>
      <c r="BD9" s="1674" t="str">
        <f t="shared" si="12"/>
        <v>5-25 km</v>
      </c>
      <c r="BE9" s="1675">
        <f t="shared" si="13"/>
        <v>15635.75457874216</v>
      </c>
      <c r="BF9" s="1676">
        <f t="shared" si="14"/>
        <v>14777.357959377097</v>
      </c>
      <c r="BG9" s="1677">
        <f t="shared" si="15"/>
        <v>13966.08696816299</v>
      </c>
      <c r="BH9" s="1676">
        <f t="shared" si="16"/>
        <v>14033.712643048502</v>
      </c>
      <c r="BI9" s="1678">
        <f t="shared" si="17"/>
        <v>14101.338317934014</v>
      </c>
      <c r="BK9" s="1674" t="str">
        <f t="shared" si="18"/>
        <v>5-25 km</v>
      </c>
      <c r="BL9" s="1679">
        <f t="shared" si="6"/>
        <v>1.8918918918918919</v>
      </c>
      <c r="BM9" s="1680">
        <f t="shared" si="7"/>
        <v>1.6347923700850124</v>
      </c>
      <c r="BN9" s="1681">
        <f t="shared" si="8"/>
        <v>1.4126315064523196</v>
      </c>
      <c r="BO9" s="1680">
        <f t="shared" si="19"/>
        <v>1.3582227782419416</v>
      </c>
      <c r="BP9" s="1682">
        <f t="shared" si="9"/>
        <v>1.3038140500315634</v>
      </c>
      <c r="BR9" s="1669" t="s">
        <v>76</v>
      </c>
      <c r="BS9" s="1686">
        <f>AU12</f>
        <v>0</v>
      </c>
      <c r="BT9" s="1687">
        <f>AW12</f>
        <v>0</v>
      </c>
      <c r="BU9" s="1688">
        <f>AY12</f>
        <v>0</v>
      </c>
      <c r="BV9" s="1689">
        <f>BA12</f>
        <v>0</v>
      </c>
    </row>
    <row r="10" spans="2:74" ht="15.75" customHeight="1" x14ac:dyDescent="0.25">
      <c r="C10" s="562" t="s">
        <v>29</v>
      </c>
      <c r="D10" s="691">
        <f>D7*0.20737</f>
        <v>5926.1162714270495</v>
      </c>
      <c r="E10" s="547">
        <f t="shared" si="0"/>
        <v>6.6447085717303719E-2</v>
      </c>
      <c r="F10" s="371">
        <v>4</v>
      </c>
      <c r="G10" s="373">
        <f t="shared" si="20"/>
        <v>0.46250000000000002</v>
      </c>
      <c r="H10" s="823">
        <v>1.85</v>
      </c>
      <c r="I10" s="691">
        <f>D10/H10</f>
        <v>3203.3060926632697</v>
      </c>
      <c r="J10" s="374">
        <f>I10/I56</f>
        <v>8.2976718059222396E-2</v>
      </c>
      <c r="K10" s="369">
        <f t="shared" si="1"/>
        <v>1.8918918918918919</v>
      </c>
      <c r="L10" s="376">
        <v>3.5</v>
      </c>
      <c r="M10" s="691">
        <f>K10*D10</f>
        <v>11211.571324321445</v>
      </c>
      <c r="N10" s="547">
        <f t="shared" si="2"/>
        <v>8.3617420464852391E-2</v>
      </c>
      <c r="O10" s="915" t="s">
        <v>74</v>
      </c>
      <c r="P10" s="912">
        <f>Q10*M6</f>
        <v>229.48338869161566</v>
      </c>
      <c r="Q10" s="913">
        <v>2.5000000000000001E-3</v>
      </c>
      <c r="R10" s="912">
        <f>S10*D6</f>
        <v>144.17699758398459</v>
      </c>
      <c r="S10" s="914">
        <f>Q10*Z14/(Q7*Z8+Q8*Z12+Q9*Z13+Q10*Z14)</f>
        <v>2.7841487257145186E-3</v>
      </c>
      <c r="T10" s="677">
        <f>Q10*T6</f>
        <v>5300.8050000000003</v>
      </c>
      <c r="U10" s="368" t="s">
        <v>293</v>
      </c>
      <c r="V10" s="375">
        <v>0</v>
      </c>
      <c r="W10" s="694">
        <f>AB10*74</f>
        <v>42.516093958073064</v>
      </c>
      <c r="X10" s="61">
        <f>X8</f>
        <v>0.36391478260869564</v>
      </c>
      <c r="Y10" s="347">
        <f>Y16</f>
        <v>0.63339999999999996</v>
      </c>
      <c r="Z10" s="61">
        <f>1/((AB10/42700)/0.84*1000)</f>
        <v>62.428876994614129</v>
      </c>
      <c r="AA10" s="61">
        <f>1/AB10</f>
        <v>1.7405173690926208</v>
      </c>
      <c r="AB10" s="61">
        <f>X10/Y10</f>
        <v>0.57454181024423057</v>
      </c>
      <c r="AC10" s="61">
        <f t="shared" ref="AC10:AC12" si="21">AB10/$H$6</f>
        <v>0.38258378735586263</v>
      </c>
      <c r="AD10" s="694">
        <f t="shared" si="11"/>
        <v>0</v>
      </c>
      <c r="AE10" s="720"/>
      <c r="AF10" s="722">
        <f>AD10*$AW$17</f>
        <v>0</v>
      </c>
      <c r="AG10" s="721"/>
      <c r="AH10" s="721"/>
      <c r="AI10" s="721"/>
      <c r="AJ10" s="721"/>
      <c r="AK10" s="721"/>
      <c r="AL10" s="721"/>
      <c r="AM10" s="721"/>
      <c r="AN10" s="721"/>
      <c r="AO10" s="722">
        <f>AD10*$AX$17</f>
        <v>0</v>
      </c>
      <c r="AP10" s="721"/>
      <c r="AQ10" s="723"/>
      <c r="AR10" s="645">
        <f>V10*T6</f>
        <v>0</v>
      </c>
      <c r="AS10" s="5"/>
      <c r="AT10" s="177" t="s">
        <v>152</v>
      </c>
      <c r="AU10" s="84">
        <v>8.9999999999999993E-3</v>
      </c>
      <c r="AV10" s="217">
        <f t="shared" si="3"/>
        <v>0.91355888304068256</v>
      </c>
      <c r="AW10" s="84">
        <v>0.02</v>
      </c>
      <c r="AX10" s="217">
        <f>((1-AW10)^AX4)*$AV$10</f>
        <v>0.74644412082310241</v>
      </c>
      <c r="AY10" s="84">
        <v>0.02</v>
      </c>
      <c r="AZ10" s="217">
        <f t="shared" si="4"/>
        <v>0.49833204553122584</v>
      </c>
      <c r="BA10" s="218">
        <f t="shared" si="5"/>
        <v>0.5016679544687741</v>
      </c>
      <c r="BD10" s="1674" t="str">
        <f t="shared" si="12"/>
        <v>25-50km</v>
      </c>
      <c r="BE10" s="1675">
        <f t="shared" si="13"/>
        <v>11211.571324321445</v>
      </c>
      <c r="BF10" s="1676">
        <f t="shared" si="14"/>
        <v>12645.534950083365</v>
      </c>
      <c r="BG10" s="1677">
        <f t="shared" si="15"/>
        <v>14124.630650943169</v>
      </c>
      <c r="BH10" s="1676">
        <f t="shared" si="16"/>
        <v>15501.93313967315</v>
      </c>
      <c r="BI10" s="1678">
        <f t="shared" si="17"/>
        <v>16879.235628403134</v>
      </c>
      <c r="BK10" s="1674" t="str">
        <f t="shared" si="18"/>
        <v>25-50km</v>
      </c>
      <c r="BL10" s="1679">
        <f t="shared" si="6"/>
        <v>1.8918918918918919</v>
      </c>
      <c r="BM10" s="1680">
        <f t="shared" si="7"/>
        <v>1.6347923700850124</v>
      </c>
      <c r="BN10" s="1681">
        <f t="shared" si="8"/>
        <v>1.4126315064523196</v>
      </c>
      <c r="BO10" s="1680">
        <f t="shared" si="19"/>
        <v>1.3582227782419416</v>
      </c>
      <c r="BP10" s="1682">
        <f t="shared" si="9"/>
        <v>1.3038140500315634</v>
      </c>
      <c r="BR10" s="1669" t="s">
        <v>501</v>
      </c>
      <c r="BS10" s="1670">
        <f>AU10</f>
        <v>8.9999999999999993E-3</v>
      </c>
      <c r="BT10" s="1671">
        <f>AW10</f>
        <v>0.02</v>
      </c>
      <c r="BU10" s="1672">
        <f>AY10</f>
        <v>0.02</v>
      </c>
      <c r="BV10" s="1673">
        <f>BA10</f>
        <v>0.5016679544687741</v>
      </c>
    </row>
    <row r="11" spans="2:74" ht="15.75" customHeight="1" thickBot="1" x14ac:dyDescent="0.3">
      <c r="C11" s="562" t="s">
        <v>30</v>
      </c>
      <c r="D11" s="691">
        <f>D7*0.4593</f>
        <v>13125.645963574498</v>
      </c>
      <c r="E11" s="547">
        <f t="shared" si="0"/>
        <v>0.14717242836455416</v>
      </c>
      <c r="F11" s="371">
        <v>4</v>
      </c>
      <c r="G11" s="373">
        <f t="shared" si="20"/>
        <v>0.46250000000000002</v>
      </c>
      <c r="H11" s="824">
        <v>1.85</v>
      </c>
      <c r="I11" s="691">
        <f>D11/H11</f>
        <v>7094.9437640943224</v>
      </c>
      <c r="J11" s="374">
        <f>I11/I56</f>
        <v>0.18378360710132055</v>
      </c>
      <c r="K11" s="369">
        <f t="shared" si="1"/>
        <v>0.94594594594594594</v>
      </c>
      <c r="L11" s="378">
        <f>L10/2</f>
        <v>1.75</v>
      </c>
      <c r="M11" s="691">
        <f>K11*D11</f>
        <v>12416.151587165064</v>
      </c>
      <c r="N11" s="547">
        <f t="shared" si="2"/>
        <v>9.260134353934199E-2</v>
      </c>
      <c r="O11" s="659"/>
      <c r="P11" s="758"/>
      <c r="Q11" s="810"/>
      <c r="R11" s="758"/>
      <c r="S11" s="796"/>
      <c r="T11" s="756"/>
      <c r="U11" s="368" t="s">
        <v>483</v>
      </c>
      <c r="V11" s="375">
        <v>0</v>
      </c>
      <c r="W11" s="694"/>
      <c r="X11" s="61">
        <f>X10</f>
        <v>0.36391478260869564</v>
      </c>
      <c r="Y11" s="362">
        <f t="shared" ref="Y11:AC11" si="22">Y10</f>
        <v>0.63339999999999996</v>
      </c>
      <c r="Z11" s="61">
        <f t="shared" si="22"/>
        <v>62.428876994614129</v>
      </c>
      <c r="AA11" s="61">
        <f t="shared" si="22"/>
        <v>1.7405173690926208</v>
      </c>
      <c r="AB11" s="61">
        <f>AB8</f>
        <v>1.73</v>
      </c>
      <c r="AC11" s="61">
        <f t="shared" si="22"/>
        <v>0.38258378735586263</v>
      </c>
      <c r="AD11" s="694">
        <f t="shared" si="11"/>
        <v>0</v>
      </c>
      <c r="AE11" s="720"/>
      <c r="AF11" s="727"/>
      <c r="AG11" s="721"/>
      <c r="AH11" s="741"/>
      <c r="AI11" s="721"/>
      <c r="AJ11" s="721"/>
      <c r="AK11" s="738">
        <f>AD11</f>
        <v>0</v>
      </c>
      <c r="AL11" s="721"/>
      <c r="AM11" s="721"/>
      <c r="AN11" s="721"/>
      <c r="AO11" s="721"/>
      <c r="AP11" s="721"/>
      <c r="AQ11" s="723"/>
      <c r="AR11" s="645">
        <f>V11*T6</f>
        <v>0</v>
      </c>
      <c r="AS11" s="5"/>
      <c r="AT11" s="177" t="s">
        <v>212</v>
      </c>
      <c r="AU11" s="85">
        <v>0.01</v>
      </c>
      <c r="AV11" s="217">
        <f t="shared" si="3"/>
        <v>0.9043820750088043</v>
      </c>
      <c r="AW11" s="85">
        <v>0.01</v>
      </c>
      <c r="AX11" s="217">
        <f>((1-AW11)^AX4)*$AV$11</f>
        <v>0.81790693759723054</v>
      </c>
      <c r="AY11" s="85">
        <v>0.01</v>
      </c>
      <c r="AZ11" s="217">
        <f t="shared" si="4"/>
        <v>0.66897175856968005</v>
      </c>
      <c r="BA11" s="218">
        <f t="shared" si="5"/>
        <v>0.33102824143031995</v>
      </c>
      <c r="BD11" s="1674" t="str">
        <f t="shared" si="12"/>
        <v>&gt;50 km</v>
      </c>
      <c r="BE11" s="1675">
        <f t="shared" si="13"/>
        <v>12416.151587165064</v>
      </c>
      <c r="BF11" s="1676">
        <f t="shared" si="14"/>
        <v>14004.181421066907</v>
      </c>
      <c r="BG11" s="1677">
        <f t="shared" si="15"/>
        <v>15642.19235660461</v>
      </c>
      <c r="BH11" s="1676">
        <f t="shared" si="16"/>
        <v>17167.47333522659</v>
      </c>
      <c r="BI11" s="1678">
        <f t="shared" si="17"/>
        <v>18692.754313848574</v>
      </c>
      <c r="BK11" s="1674" t="str">
        <f t="shared" si="18"/>
        <v>&gt;50 km</v>
      </c>
      <c r="BL11" s="1679">
        <f t="shared" si="6"/>
        <v>0.94594594594594594</v>
      </c>
      <c r="BM11" s="1680">
        <f t="shared" si="7"/>
        <v>0.81739618504250622</v>
      </c>
      <c r="BN11" s="1681">
        <f t="shared" si="8"/>
        <v>0.7063157532261598</v>
      </c>
      <c r="BO11" s="1680">
        <f t="shared" si="19"/>
        <v>0.6791113891209708</v>
      </c>
      <c r="BP11" s="1682">
        <f t="shared" si="9"/>
        <v>0.65190702501578168</v>
      </c>
      <c r="BR11" s="1669" t="s">
        <v>77</v>
      </c>
      <c r="BS11" s="1683">
        <f>AU8</f>
        <v>7.4000000000000003E-3</v>
      </c>
      <c r="BT11" s="1684">
        <f>AW8</f>
        <v>0.01</v>
      </c>
      <c r="BU11" s="1685">
        <f>AY8</f>
        <v>4.0000000000000001E-3</v>
      </c>
      <c r="BV11" s="1673">
        <f>BA8</f>
        <v>0.22503618789244306</v>
      </c>
    </row>
    <row r="12" spans="2:74" ht="15.75" customHeight="1" thickBot="1" x14ac:dyDescent="0.3">
      <c r="C12" s="561" t="s">
        <v>106</v>
      </c>
      <c r="D12" s="517">
        <f>51785*0.40815</f>
        <v>21136.047750000002</v>
      </c>
      <c r="E12" s="448">
        <f t="shared" si="0"/>
        <v>0.23698974374511864</v>
      </c>
      <c r="F12" s="55">
        <v>4</v>
      </c>
      <c r="G12" s="58">
        <f t="shared" si="20"/>
        <v>0.29000000000000004</v>
      </c>
      <c r="H12" s="827">
        <f>((H13*I13)+(H14*I14)+(H15*I15)+(H16*I16))/(I13+I14+I15+I16)</f>
        <v>1.1600000000000001</v>
      </c>
      <c r="I12" s="694">
        <f>SUM(I13:I16)</f>
        <v>18215.264599719827</v>
      </c>
      <c r="J12" s="366">
        <f>I12/I56</f>
        <v>0.47183841673040167</v>
      </c>
      <c r="K12" s="363">
        <f t="shared" si="1"/>
        <v>2.2959042885279382</v>
      </c>
      <c r="L12" s="61">
        <f>M12/I12</f>
        <v>2.6632489746924084</v>
      </c>
      <c r="M12" s="538">
        <f>SUM(M13:M16)</f>
        <v>48511.784768954749</v>
      </c>
      <c r="N12" s="546">
        <f t="shared" si="2"/>
        <v>0.36180747436591965</v>
      </c>
      <c r="O12" s="659"/>
      <c r="P12" s="758"/>
      <c r="Q12" s="810"/>
      <c r="R12" s="758"/>
      <c r="S12" s="796"/>
      <c r="T12" s="756"/>
      <c r="U12" s="368" t="s">
        <v>86</v>
      </c>
      <c r="V12" s="375">
        <v>0</v>
      </c>
      <c r="W12" s="694">
        <f>AB12*73</f>
        <v>163.52000000000001</v>
      </c>
      <c r="X12" s="602">
        <v>0.3576086956521739</v>
      </c>
      <c r="Y12" s="362">
        <f>X12/AB12</f>
        <v>0.15964673913043476</v>
      </c>
      <c r="Z12" s="61">
        <f>1/((AB12/43800)/0.75*1000)</f>
        <v>14.665178571428571</v>
      </c>
      <c r="AA12" s="61">
        <f>1/AB12</f>
        <v>0.4464285714285714</v>
      </c>
      <c r="AB12" s="602">
        <v>2.2400000000000002</v>
      </c>
      <c r="AC12" s="61">
        <f t="shared" si="21"/>
        <v>1.4916019485385017</v>
      </c>
      <c r="AD12" s="694">
        <f t="shared" si="11"/>
        <v>0</v>
      </c>
      <c r="AE12" s="726">
        <f>AD12</f>
        <v>0</v>
      </c>
      <c r="AF12" s="727"/>
      <c r="AG12" s="721"/>
      <c r="AH12" s="721"/>
      <c r="AI12" s="721"/>
      <c r="AJ12" s="721"/>
      <c r="AK12" s="721"/>
      <c r="AL12" s="721"/>
      <c r="AM12" s="721"/>
      <c r="AN12" s="721"/>
      <c r="AO12" s="721"/>
      <c r="AP12" s="721"/>
      <c r="AQ12" s="723"/>
      <c r="AR12" s="645">
        <f>V12*T6</f>
        <v>0</v>
      </c>
      <c r="AS12" s="5"/>
      <c r="AT12" s="214" t="s">
        <v>156</v>
      </c>
      <c r="AU12" s="11"/>
      <c r="AV12" s="29"/>
      <c r="AW12" s="29"/>
      <c r="AX12" s="29"/>
      <c r="AY12" s="29"/>
      <c r="AZ12" s="29"/>
      <c r="BA12" s="219"/>
      <c r="BD12" s="1674" t="str">
        <f t="shared" si="12"/>
        <v>Work</v>
      </c>
      <c r="BE12" s="1675">
        <f t="shared" si="13"/>
        <v>48511.784768954749</v>
      </c>
      <c r="BF12" s="1676">
        <f t="shared" si="14"/>
        <v>51800.887428301561</v>
      </c>
      <c r="BG12" s="1677">
        <f t="shared" si="15"/>
        <v>55269.140488427787</v>
      </c>
      <c r="BH12" s="1676">
        <f t="shared" si="16"/>
        <v>59003.240386945334</v>
      </c>
      <c r="BI12" s="1678">
        <f t="shared" si="17"/>
        <v>62737.34028546288</v>
      </c>
      <c r="BK12" s="1674" t="str">
        <f t="shared" si="18"/>
        <v>Work</v>
      </c>
      <c r="BL12" s="1679">
        <f t="shared" si="6"/>
        <v>2.2959042885279382</v>
      </c>
      <c r="BM12" s="1680">
        <f t="shared" si="7"/>
        <v>1.9575604689252071</v>
      </c>
      <c r="BN12" s="1681">
        <f t="shared" si="8"/>
        <v>1.6720081633781754</v>
      </c>
      <c r="BO12" s="1680">
        <f t="shared" si="19"/>
        <v>1.6032523076338925</v>
      </c>
      <c r="BP12" s="1682">
        <f t="shared" si="9"/>
        <v>1.5344964518896098</v>
      </c>
      <c r="BR12" s="1690" t="s">
        <v>212</v>
      </c>
      <c r="BS12" s="1691">
        <f>AU11</f>
        <v>0.01</v>
      </c>
      <c r="BT12" s="1692">
        <f>AW11</f>
        <v>0.01</v>
      </c>
      <c r="BU12" s="1693">
        <f>AY11</f>
        <v>0.01</v>
      </c>
      <c r="BV12" s="1694">
        <f>BA11</f>
        <v>0.33102824143031995</v>
      </c>
    </row>
    <row r="13" spans="2:74" ht="15.75" customHeight="1" thickBot="1" x14ac:dyDescent="0.3">
      <c r="C13" s="562" t="s">
        <v>27</v>
      </c>
      <c r="D13" s="691">
        <f>D12*0.0157</f>
        <v>331.83594967499999</v>
      </c>
      <c r="E13" s="547">
        <f t="shared" si="0"/>
        <v>3.7207389767983626E-3</v>
      </c>
      <c r="F13" s="371">
        <v>4</v>
      </c>
      <c r="G13" s="373">
        <f t="shared" si="20"/>
        <v>0.28999999999999998</v>
      </c>
      <c r="H13" s="822">
        <v>1.1599999999999999</v>
      </c>
      <c r="I13" s="691">
        <f>D13/H13</f>
        <v>286.06547385775866</v>
      </c>
      <c r="J13" s="374">
        <f>I13/I56</f>
        <v>7.4100861685178626E-3</v>
      </c>
      <c r="K13" s="369">
        <f t="shared" si="1"/>
        <v>3.0172413793103452</v>
      </c>
      <c r="L13" s="370">
        <v>3.5</v>
      </c>
      <c r="M13" s="691">
        <f>K13*D13</f>
        <v>1001.2291585021553</v>
      </c>
      <c r="N13" s="547">
        <f t="shared" si="2"/>
        <v>7.4673029414288666E-3</v>
      </c>
      <c r="O13" s="659"/>
      <c r="P13" s="758"/>
      <c r="Q13" s="909"/>
      <c r="R13" s="758"/>
      <c r="S13" s="796"/>
      <c r="T13" s="756"/>
      <c r="U13" s="368" t="s">
        <v>84</v>
      </c>
      <c r="V13" s="375">
        <v>0</v>
      </c>
      <c r="W13" s="694"/>
      <c r="X13" s="603">
        <v>0.3576086956521739</v>
      </c>
      <c r="Y13" s="347">
        <f>X13/AB13</f>
        <v>0.15964673913043476</v>
      </c>
      <c r="Z13" s="61">
        <f>1/((AB13/26700)/0.79*1000)</f>
        <v>9.4165178571428569</v>
      </c>
      <c r="AA13" s="61">
        <f>1/AB13</f>
        <v>0.4464285714285714</v>
      </c>
      <c r="AB13" s="603">
        <v>2.2400000000000002</v>
      </c>
      <c r="AC13" s="61">
        <f>AB13/$H$6</f>
        <v>1.4916019485385017</v>
      </c>
      <c r="AD13" s="694">
        <f>V13*$I$6*AB13</f>
        <v>0</v>
      </c>
      <c r="AE13" s="720"/>
      <c r="AF13" s="721"/>
      <c r="AG13" s="721"/>
      <c r="AH13" s="721"/>
      <c r="AI13" s="721"/>
      <c r="AJ13" s="722">
        <f>AD13</f>
        <v>0</v>
      </c>
      <c r="AK13" s="741"/>
      <c r="AL13" s="721"/>
      <c r="AM13" s="721"/>
      <c r="AN13" s="721"/>
      <c r="AO13" s="721"/>
      <c r="AP13" s="721"/>
      <c r="AQ13" s="723"/>
      <c r="AR13" s="645">
        <f>V13*T6</f>
        <v>0</v>
      </c>
      <c r="AU13" s="212"/>
      <c r="AV13" s="212"/>
      <c r="AW13" s="212"/>
      <c r="AX13" s="212"/>
      <c r="AY13" s="212"/>
      <c r="AZ13" s="212"/>
      <c r="BD13" s="1674" t="str">
        <f t="shared" si="12"/>
        <v>&lt; 5km</v>
      </c>
      <c r="BE13" s="1675">
        <f t="shared" si="13"/>
        <v>1001.2291585021553</v>
      </c>
      <c r="BF13" s="1676">
        <f t="shared" si="14"/>
        <v>946.26208156706082</v>
      </c>
      <c r="BG13" s="1677">
        <f t="shared" si="15"/>
        <v>894.31267498358568</v>
      </c>
      <c r="BH13" s="1676">
        <f t="shared" si="16"/>
        <v>898.64305745523268</v>
      </c>
      <c r="BI13" s="1678">
        <f t="shared" si="17"/>
        <v>902.97343992687968</v>
      </c>
      <c r="BK13" s="1674" t="str">
        <f t="shared" si="18"/>
        <v>&lt; 5km</v>
      </c>
      <c r="BL13" s="1679">
        <f t="shared" si="6"/>
        <v>3.0172413793103452</v>
      </c>
      <c r="BM13" s="1680">
        <f t="shared" si="7"/>
        <v>2.6072119695321323</v>
      </c>
      <c r="BN13" s="1681">
        <f t="shared" si="8"/>
        <v>2.2529036956351653</v>
      </c>
      <c r="BO13" s="1680">
        <f t="shared" si="19"/>
        <v>2.1661311549548206</v>
      </c>
      <c r="BP13" s="1682">
        <f t="shared" si="9"/>
        <v>2.0793586142744762</v>
      </c>
    </row>
    <row r="14" spans="2:74" ht="15.75" customHeight="1" thickBot="1" x14ac:dyDescent="0.3">
      <c r="C14" s="562" t="s">
        <v>28</v>
      </c>
      <c r="D14" s="691">
        <f>D12*0.2344</f>
        <v>4954.2895926000001</v>
      </c>
      <c r="E14" s="547">
        <f t="shared" si="0"/>
        <v>5.5550395933855808E-2</v>
      </c>
      <c r="F14" s="371">
        <v>4</v>
      </c>
      <c r="G14" s="373">
        <f t="shared" si="20"/>
        <v>0.28999999999999998</v>
      </c>
      <c r="H14" s="823">
        <v>1.1599999999999999</v>
      </c>
      <c r="I14" s="691">
        <f>D14/H14</f>
        <v>4270.9393039655179</v>
      </c>
      <c r="J14" s="374">
        <f>I14/$I$56</f>
        <v>0.11063211451596096</v>
      </c>
      <c r="K14" s="369">
        <f t="shared" si="1"/>
        <v>3.0172413793103452</v>
      </c>
      <c r="L14" s="376">
        <v>3.5</v>
      </c>
      <c r="M14" s="691">
        <f>K14*D14</f>
        <v>14948.287563879312</v>
      </c>
      <c r="N14" s="547">
        <f t="shared" si="2"/>
        <v>0.1114863572911418</v>
      </c>
      <c r="O14" s="659"/>
      <c r="P14" s="758"/>
      <c r="Q14" s="810"/>
      <c r="R14" s="758"/>
      <c r="S14" s="796"/>
      <c r="T14" s="756"/>
      <c r="U14" s="368" t="s">
        <v>422</v>
      </c>
      <c r="V14" s="375">
        <v>0</v>
      </c>
      <c r="W14" s="694"/>
      <c r="X14" s="604">
        <v>0.36391478260869564</v>
      </c>
      <c r="Y14" s="347">
        <f>X14/AB14</f>
        <v>0.21035536566976626</v>
      </c>
      <c r="Z14" s="61">
        <f>1/((AB14/37600)/0.84*1000)</f>
        <v>18.256647398843928</v>
      </c>
      <c r="AA14" s="61">
        <f>AA8</f>
        <v>0.5780346820809249</v>
      </c>
      <c r="AB14" s="604">
        <v>1.73</v>
      </c>
      <c r="AC14" s="61">
        <f>AB14/$H$6</f>
        <v>1.1519961477551819</v>
      </c>
      <c r="AD14" s="694">
        <f>V14*$I$6*AB14</f>
        <v>0</v>
      </c>
      <c r="AE14" s="720"/>
      <c r="AF14" s="721"/>
      <c r="AG14" s="721"/>
      <c r="AI14" s="722">
        <f>+AD14</f>
        <v>0</v>
      </c>
      <c r="AJ14" s="721"/>
      <c r="AK14" s="721"/>
      <c r="AL14" s="721"/>
      <c r="AM14" s="721"/>
      <c r="AN14" s="721"/>
      <c r="AO14" s="721"/>
      <c r="AP14" s="721"/>
      <c r="AQ14" s="723"/>
      <c r="AR14" s="645">
        <f>V14*T6</f>
        <v>0</v>
      </c>
      <c r="AT14" s="18" t="s">
        <v>91</v>
      </c>
      <c r="AU14" s="28"/>
      <c r="AV14" s="28"/>
      <c r="AW14" s="28"/>
      <c r="AX14" s="30"/>
      <c r="AY14" s="896"/>
      <c r="AZ14" s="896"/>
      <c r="BA14" s="896"/>
      <c r="BD14" s="1674" t="str">
        <f t="shared" si="12"/>
        <v>5-25 km</v>
      </c>
      <c r="BE14" s="1675">
        <f t="shared" si="13"/>
        <v>14948.287563879312</v>
      </c>
      <c r="BF14" s="1676">
        <f t="shared" si="14"/>
        <v>14127.632606326057</v>
      </c>
      <c r="BG14" s="1677">
        <f t="shared" si="15"/>
        <v>13352.031274914172</v>
      </c>
      <c r="BH14" s="1676">
        <f t="shared" si="16"/>
        <v>13416.683609395324</v>
      </c>
      <c r="BI14" s="1678">
        <f t="shared" si="17"/>
        <v>13481.335943876475</v>
      </c>
      <c r="BK14" s="1674" t="str">
        <f t="shared" si="18"/>
        <v>5-25 km</v>
      </c>
      <c r="BL14" s="1679">
        <f t="shared" si="6"/>
        <v>3.0172413793103452</v>
      </c>
      <c r="BM14" s="1680">
        <f t="shared" si="7"/>
        <v>2.6072119695321323</v>
      </c>
      <c r="BN14" s="1681">
        <f t="shared" si="8"/>
        <v>2.2529036956351653</v>
      </c>
      <c r="BO14" s="1680">
        <f t="shared" si="19"/>
        <v>2.1661311549548206</v>
      </c>
      <c r="BP14" s="1682">
        <f t="shared" si="9"/>
        <v>2.0793586142744762</v>
      </c>
    </row>
    <row r="15" spans="2:74" ht="15.75" customHeight="1" thickBot="1" x14ac:dyDescent="0.3">
      <c r="C15" s="562" t="s">
        <v>29</v>
      </c>
      <c r="D15" s="691">
        <f>D12*0.2716</f>
        <v>5740.5505689000001</v>
      </c>
      <c r="E15" s="547">
        <f t="shared" si="0"/>
        <v>6.4366414401174216E-2</v>
      </c>
      <c r="F15" s="371">
        <v>4</v>
      </c>
      <c r="G15" s="373">
        <f t="shared" si="20"/>
        <v>0.28999999999999998</v>
      </c>
      <c r="H15" s="823">
        <v>1.1599999999999999</v>
      </c>
      <c r="I15" s="691">
        <f>D15/H15</f>
        <v>4948.7504904310354</v>
      </c>
      <c r="J15" s="374">
        <f>I15/$I$56</f>
        <v>0.12818977091525169</v>
      </c>
      <c r="K15" s="369">
        <f t="shared" si="1"/>
        <v>3.0172413793103452</v>
      </c>
      <c r="L15" s="376">
        <v>3.5</v>
      </c>
      <c r="M15" s="691">
        <f>K15*D15</f>
        <v>17320.626716508625</v>
      </c>
      <c r="N15" s="547">
        <f t="shared" si="2"/>
        <v>0.12917958464280765</v>
      </c>
      <c r="O15" s="380"/>
      <c r="P15" s="538"/>
      <c r="Q15" s="908"/>
      <c r="R15" s="538"/>
      <c r="S15" s="661"/>
      <c r="T15" s="525"/>
      <c r="U15" s="368" t="s">
        <v>423</v>
      </c>
      <c r="V15" s="375">
        <v>0</v>
      </c>
      <c r="W15" s="694"/>
      <c r="X15" s="61">
        <f>X9</f>
        <v>0.36391478260869564</v>
      </c>
      <c r="Y15" s="347">
        <f>X15/AB15</f>
        <v>0.291528304581187</v>
      </c>
      <c r="Z15" s="61">
        <f>1/((AB15/37600)/0.84*1000)</f>
        <v>25.301610189858209</v>
      </c>
      <c r="AA15" s="601">
        <f>100/(3.8*0.75*43.8)</f>
        <v>0.80108948169510552</v>
      </c>
      <c r="AB15" s="61">
        <f>1/AA15</f>
        <v>1.2482999999999997</v>
      </c>
      <c r="AC15" s="61">
        <f>AB15/$H$6</f>
        <v>0.83123513944670135</v>
      </c>
      <c r="AD15" s="694">
        <f>V15*$I$6*AB15</f>
        <v>0</v>
      </c>
      <c r="AE15" s="720"/>
      <c r="AF15" s="721"/>
      <c r="AG15" s="721"/>
      <c r="AH15" s="721"/>
      <c r="AI15" s="722">
        <f>AD15</f>
        <v>0</v>
      </c>
      <c r="AJ15" s="721"/>
      <c r="AK15" s="721"/>
      <c r="AL15" s="721"/>
      <c r="AM15" s="721"/>
      <c r="AN15" s="721"/>
      <c r="AO15" s="721"/>
      <c r="AP15" s="721"/>
      <c r="AQ15" s="723"/>
      <c r="AR15" s="645">
        <f>V15*T6</f>
        <v>0</v>
      </c>
      <c r="AT15" s="151" t="s">
        <v>109</v>
      </c>
      <c r="AU15" s="51" t="s">
        <v>90</v>
      </c>
      <c r="AV15" s="51"/>
      <c r="AW15" s="51" t="s">
        <v>92</v>
      </c>
      <c r="AX15" s="52"/>
      <c r="AY15" s="896"/>
      <c r="AZ15" s="896"/>
      <c r="BA15" s="896"/>
      <c r="BD15" s="1674" t="str">
        <f t="shared" si="12"/>
        <v>25-50km</v>
      </c>
      <c r="BE15" s="1675">
        <f t="shared" si="13"/>
        <v>17320.626716508625</v>
      </c>
      <c r="BF15" s="1676">
        <f t="shared" si="14"/>
        <v>19535.9405176164</v>
      </c>
      <c r="BG15" s="1677">
        <f t="shared" si="15"/>
        <v>21820.9783389439</v>
      </c>
      <c r="BH15" s="1676">
        <f t="shared" si="16"/>
        <v>23948.757005548792</v>
      </c>
      <c r="BI15" s="1678">
        <f t="shared" si="17"/>
        <v>26076.535672153685</v>
      </c>
      <c r="BK15" s="1674" t="str">
        <f t="shared" si="18"/>
        <v>25-50km</v>
      </c>
      <c r="BL15" s="1679">
        <f t="shared" si="6"/>
        <v>3.0172413793103452</v>
      </c>
      <c r="BM15" s="1680">
        <f t="shared" si="7"/>
        <v>2.6072119695321323</v>
      </c>
      <c r="BN15" s="1681">
        <f t="shared" si="8"/>
        <v>2.2529036956351653</v>
      </c>
      <c r="BO15" s="1680">
        <f t="shared" si="19"/>
        <v>2.1661311549548206</v>
      </c>
      <c r="BP15" s="1682">
        <f t="shared" si="9"/>
        <v>2.0793586142744762</v>
      </c>
    </row>
    <row r="16" spans="2:74" ht="15.75" customHeight="1" x14ac:dyDescent="0.25">
      <c r="C16" s="562" t="s">
        <v>30</v>
      </c>
      <c r="D16" s="691">
        <f>D12*0.478</f>
        <v>10103.0308245</v>
      </c>
      <c r="E16" s="547">
        <f t="shared" si="0"/>
        <v>0.1132810975101667</v>
      </c>
      <c r="F16" s="371">
        <v>4</v>
      </c>
      <c r="G16" s="373">
        <f t="shared" si="20"/>
        <v>0.28999999999999998</v>
      </c>
      <c r="H16" s="823">
        <v>1.1599999999999999</v>
      </c>
      <c r="I16" s="691">
        <f>D16/H16</f>
        <v>8709.5093314655169</v>
      </c>
      <c r="J16" s="374">
        <f>I16/$I$56</f>
        <v>0.22560644513067118</v>
      </c>
      <c r="K16" s="369">
        <f t="shared" si="1"/>
        <v>1.5086206896551726</v>
      </c>
      <c r="L16" s="376">
        <f>L15/2</f>
        <v>1.75</v>
      </c>
      <c r="M16" s="691">
        <f>K16*D16</f>
        <v>15241.641330064656</v>
      </c>
      <c r="N16" s="547">
        <f t="shared" si="2"/>
        <v>0.11367422949054133</v>
      </c>
      <c r="O16" s="380"/>
      <c r="P16" s="538"/>
      <c r="Q16" s="908"/>
      <c r="R16" s="538"/>
      <c r="S16" s="661"/>
      <c r="T16" s="525"/>
      <c r="U16" s="368" t="s">
        <v>424</v>
      </c>
      <c r="V16" s="375">
        <v>0</v>
      </c>
      <c r="W16" s="694"/>
      <c r="X16" s="61">
        <f>X10</f>
        <v>0.36391478260869564</v>
      </c>
      <c r="Y16" s="347">
        <f>AW19</f>
        <v>0.63339999999999996</v>
      </c>
      <c r="Z16" s="61">
        <f>1/((AB16/37600)/0.84*1000)</f>
        <v>54.972500585421344</v>
      </c>
      <c r="AA16" s="61">
        <f>1/AB16</f>
        <v>1.7405173690926208</v>
      </c>
      <c r="AB16" s="61">
        <f>X16/Y16</f>
        <v>0.57454181024423057</v>
      </c>
      <c r="AC16" s="61">
        <f>AB16/$H$6</f>
        <v>0.38258378735586263</v>
      </c>
      <c r="AD16" s="694">
        <f>V16*$I$6*AB16</f>
        <v>0</v>
      </c>
      <c r="AE16" s="720"/>
      <c r="AF16" s="721"/>
      <c r="AG16" s="721"/>
      <c r="AH16" s="721"/>
      <c r="AI16" s="722">
        <f>AD16*$AW$17</f>
        <v>0</v>
      </c>
      <c r="AJ16" s="721"/>
      <c r="AK16" s="721"/>
      <c r="AL16" s="721"/>
      <c r="AM16" s="721"/>
      <c r="AN16" s="721"/>
      <c r="AO16" s="722">
        <f>AD16*$AX$17</f>
        <v>0</v>
      </c>
      <c r="AP16" s="721"/>
      <c r="AQ16" s="723"/>
      <c r="AR16" s="645">
        <f>V16*T6</f>
        <v>0</v>
      </c>
      <c r="AT16" s="3"/>
      <c r="AU16" s="8" t="s">
        <v>67</v>
      </c>
      <c r="AV16" s="8" t="s">
        <v>5</v>
      </c>
      <c r="AW16" s="8" t="s">
        <v>3</v>
      </c>
      <c r="AX16" s="10" t="s">
        <v>70</v>
      </c>
      <c r="AY16" s="896"/>
      <c r="AZ16" s="896"/>
      <c r="BA16" s="896"/>
      <c r="BD16" s="1674" t="str">
        <f t="shared" si="12"/>
        <v>&gt;50 km</v>
      </c>
      <c r="BE16" s="1675">
        <f t="shared" si="13"/>
        <v>15241.641330064656</v>
      </c>
      <c r="BF16" s="1676">
        <f t="shared" si="14"/>
        <v>17191.052222792045</v>
      </c>
      <c r="BG16" s="1677">
        <f t="shared" si="15"/>
        <v>19201.818199586127</v>
      </c>
      <c r="BH16" s="1676">
        <f t="shared" si="16"/>
        <v>20739.156714545981</v>
      </c>
      <c r="BI16" s="1678">
        <f t="shared" si="17"/>
        <v>22276.495229505836</v>
      </c>
      <c r="BK16" s="1674" t="str">
        <f t="shared" si="18"/>
        <v>&gt;50 km</v>
      </c>
      <c r="BL16" s="1679">
        <f t="shared" si="6"/>
        <v>1.5086206896551726</v>
      </c>
      <c r="BM16" s="1680">
        <f t="shared" si="7"/>
        <v>1.3036059847660662</v>
      </c>
      <c r="BN16" s="1681">
        <f t="shared" si="8"/>
        <v>1.1264518478175827</v>
      </c>
      <c r="BO16" s="1680">
        <f t="shared" si="19"/>
        <v>1.0830655774774103</v>
      </c>
      <c r="BP16" s="1682">
        <f t="shared" si="9"/>
        <v>1.0396793071372381</v>
      </c>
    </row>
    <row r="17" spans="2:83" ht="15.75" customHeight="1" thickBot="1" x14ac:dyDescent="0.3">
      <c r="C17" s="561" t="s">
        <v>73</v>
      </c>
      <c r="D17" s="538">
        <f>51785*0.04</f>
        <v>2071.4</v>
      </c>
      <c r="E17" s="448">
        <f t="shared" si="0"/>
        <v>2.3225749723887652E-2</v>
      </c>
      <c r="F17" s="55">
        <v>4</v>
      </c>
      <c r="G17" s="58">
        <f>H17/F17</f>
        <v>0.625</v>
      </c>
      <c r="H17" s="824">
        <v>2.5</v>
      </c>
      <c r="I17" s="694">
        <f>D17/H17</f>
        <v>828.56000000000006</v>
      </c>
      <c r="J17" s="366">
        <f>I17/$I$56</f>
        <v>2.1462572581688155E-2</v>
      </c>
      <c r="K17" s="363">
        <f t="shared" si="1"/>
        <v>0.7</v>
      </c>
      <c r="L17" s="379">
        <f>L15/2</f>
        <v>1.75</v>
      </c>
      <c r="M17" s="538">
        <f>K17*D17</f>
        <v>1449.98</v>
      </c>
      <c r="N17" s="546">
        <f t="shared" si="2"/>
        <v>1.0814147617525383E-2</v>
      </c>
      <c r="O17" s="380"/>
      <c r="P17" s="538"/>
      <c r="Q17" s="473"/>
      <c r="R17" s="538"/>
      <c r="S17" s="661"/>
      <c r="T17" s="525"/>
      <c r="U17" s="368" t="s">
        <v>412</v>
      </c>
      <c r="V17" s="375">
        <v>0</v>
      </c>
      <c r="W17" s="694"/>
      <c r="X17" s="61">
        <f t="shared" ref="X17:AB18" si="23">X8</f>
        <v>0.36391478260869564</v>
      </c>
      <c r="Y17" s="362">
        <f t="shared" si="23"/>
        <v>0.21035536566976626</v>
      </c>
      <c r="Z17" s="61">
        <f t="shared" si="23"/>
        <v>20.732947976878609</v>
      </c>
      <c r="AA17" s="61">
        <f t="shared" si="23"/>
        <v>0.5780346820809249</v>
      </c>
      <c r="AB17" s="61">
        <f t="shared" si="23"/>
        <v>1.73</v>
      </c>
      <c r="AC17" s="61">
        <f>AB17/H6</f>
        <v>1.1519961477551819</v>
      </c>
      <c r="AD17" s="694">
        <f>V17*$I$6*AB17</f>
        <v>0</v>
      </c>
      <c r="AE17" s="720"/>
      <c r="AF17" s="727"/>
      <c r="AG17" s="721"/>
      <c r="AH17" s="722">
        <f>AD17</f>
        <v>0</v>
      </c>
      <c r="AI17" s="721"/>
      <c r="AJ17" s="721"/>
      <c r="AK17" s="721"/>
      <c r="AL17" s="721"/>
      <c r="AM17" s="721"/>
      <c r="AN17" s="721"/>
      <c r="AO17" s="721"/>
      <c r="AP17" s="721"/>
      <c r="AQ17" s="723"/>
      <c r="AR17" s="645">
        <f>V17*T6</f>
        <v>0</v>
      </c>
      <c r="AT17" s="3" t="s">
        <v>159</v>
      </c>
      <c r="AU17" s="24">
        <v>0.27129642927276876</v>
      </c>
      <c r="AV17" s="24">
        <v>0.72870357072723124</v>
      </c>
      <c r="AW17" s="24">
        <v>0.27</v>
      </c>
      <c r="AX17" s="40">
        <v>0.73</v>
      </c>
      <c r="AY17" s="896"/>
      <c r="AZ17" s="896"/>
      <c r="BA17" s="896"/>
      <c r="BD17" s="1674" t="str">
        <f t="shared" si="12"/>
        <v>International</v>
      </c>
      <c r="BE17" s="1675">
        <f t="shared" si="13"/>
        <v>1449.98</v>
      </c>
      <c r="BF17" s="1676">
        <f t="shared" si="14"/>
        <v>1557.5329967283064</v>
      </c>
      <c r="BG17" s="1677">
        <f t="shared" si="15"/>
        <v>1673.0637911539873</v>
      </c>
      <c r="BH17" s="1676">
        <f t="shared" si="16"/>
        <v>1797.4632954498743</v>
      </c>
      <c r="BI17" s="1678">
        <f t="shared" si="17"/>
        <v>1921.8627997457613</v>
      </c>
      <c r="BK17" s="1674" t="str">
        <f t="shared" si="18"/>
        <v>International</v>
      </c>
      <c r="BL17" s="1679">
        <f t="shared" si="6"/>
        <v>0.7</v>
      </c>
      <c r="BM17" s="1680">
        <f t="shared" si="7"/>
        <v>0.60487317693145459</v>
      </c>
      <c r="BN17" s="1681">
        <f t="shared" si="8"/>
        <v>0.52267365738735827</v>
      </c>
      <c r="BO17" s="1680">
        <f t="shared" si="19"/>
        <v>0.50254242794951831</v>
      </c>
      <c r="BP17" s="1682">
        <f t="shared" si="9"/>
        <v>0.48241119851167846</v>
      </c>
    </row>
    <row r="18" spans="2:83" ht="15.75" customHeight="1" thickBot="1" x14ac:dyDescent="0.3">
      <c r="C18" s="562"/>
      <c r="D18" s="691"/>
      <c r="E18" s="448"/>
      <c r="F18" s="371"/>
      <c r="G18" s="373"/>
      <c r="H18" s="821"/>
      <c r="I18" s="691"/>
      <c r="J18" s="374"/>
      <c r="K18" s="363"/>
      <c r="L18" s="61"/>
      <c r="M18" s="538"/>
      <c r="N18" s="547"/>
      <c r="O18" s="380"/>
      <c r="P18" s="538"/>
      <c r="Q18" s="473"/>
      <c r="R18" s="538"/>
      <c r="S18" s="661"/>
      <c r="T18" s="525"/>
      <c r="U18" s="368" t="s">
        <v>413</v>
      </c>
      <c r="V18" s="375">
        <v>0</v>
      </c>
      <c r="W18" s="694"/>
      <c r="X18" s="61">
        <f t="shared" si="23"/>
        <v>0.36391478260869564</v>
      </c>
      <c r="Y18" s="362">
        <f t="shared" si="23"/>
        <v>0.291528304581187</v>
      </c>
      <c r="Z18" s="61">
        <f t="shared" si="23"/>
        <v>28.733477529440048</v>
      </c>
      <c r="AA18" s="61">
        <f t="shared" si="23"/>
        <v>0.80108948169510552</v>
      </c>
      <c r="AB18" s="61">
        <f t="shared" si="23"/>
        <v>1.2482999999999997</v>
      </c>
      <c r="AC18" s="61">
        <f>AB18/H6</f>
        <v>0.83123513944670135</v>
      </c>
      <c r="AD18" s="694">
        <f t="shared" si="11"/>
        <v>0</v>
      </c>
      <c r="AE18" s="720"/>
      <c r="AF18" s="727"/>
      <c r="AG18" s="721"/>
      <c r="AH18" s="722">
        <f>AD18</f>
        <v>0</v>
      </c>
      <c r="AI18" s="721"/>
      <c r="AJ18" s="721"/>
      <c r="AK18" s="721"/>
      <c r="AL18" s="721"/>
      <c r="AM18" s="721"/>
      <c r="AN18" s="721"/>
      <c r="AO18" s="721"/>
      <c r="AP18" s="721"/>
      <c r="AQ18" s="723"/>
      <c r="AR18" s="645">
        <f>V18*T6</f>
        <v>0</v>
      </c>
      <c r="AT18" s="3" t="s">
        <v>79</v>
      </c>
      <c r="AU18" s="8">
        <v>0.5</v>
      </c>
      <c r="AV18" s="8">
        <v>0.79</v>
      </c>
      <c r="AW18" s="8">
        <v>0.21</v>
      </c>
      <c r="AX18" s="10">
        <v>0.79</v>
      </c>
      <c r="AY18" s="896"/>
      <c r="AZ18" s="896"/>
      <c r="BA18" s="896"/>
      <c r="BD18" s="1695" t="str">
        <f>C24</f>
        <v>Rail</v>
      </c>
      <c r="BE18" s="1696">
        <f>M24</f>
        <v>3922.6296444444451</v>
      </c>
      <c r="BF18" s="1697">
        <f>M164</f>
        <v>2659.9693844492276</v>
      </c>
      <c r="BG18" s="1698">
        <f>M304</f>
        <v>2832.693211847838</v>
      </c>
      <c r="BH18" s="1697">
        <f t="shared" si="16"/>
        <v>2868.5255252994484</v>
      </c>
      <c r="BI18" s="1699">
        <f>M444</f>
        <v>2904.3578387510588</v>
      </c>
      <c r="BK18" s="1695" t="str">
        <f t="shared" si="18"/>
        <v>Rail</v>
      </c>
      <c r="BL18" s="1700">
        <f>K24</f>
        <v>0.54475768148089454</v>
      </c>
      <c r="BM18" s="1701">
        <f>K164</f>
        <v>0.3550572512851885</v>
      </c>
      <c r="BN18" s="1702">
        <f>K304</f>
        <v>0.33649857193900273</v>
      </c>
      <c r="BO18" s="1701">
        <f t="shared" si="19"/>
        <v>0.33645833355380694</v>
      </c>
      <c r="BP18" s="1703">
        <f>K444</f>
        <v>0.33641809516861115</v>
      </c>
    </row>
    <row r="19" spans="2:83" ht="15.75" customHeight="1" thickBot="1" x14ac:dyDescent="0.3">
      <c r="C19" s="562"/>
      <c r="D19" s="691"/>
      <c r="E19" s="448"/>
      <c r="F19" s="371"/>
      <c r="G19" s="373"/>
      <c r="H19" s="821"/>
      <c r="I19" s="691"/>
      <c r="J19" s="374"/>
      <c r="K19" s="363"/>
      <c r="L19" s="61"/>
      <c r="M19" s="538"/>
      <c r="N19" s="547"/>
      <c r="O19" s="380"/>
      <c r="P19" s="538"/>
      <c r="Q19" s="473"/>
      <c r="R19" s="538"/>
      <c r="S19" s="661"/>
      <c r="T19" s="525"/>
      <c r="U19" s="368" t="s">
        <v>414</v>
      </c>
      <c r="V19" s="375">
        <v>0</v>
      </c>
      <c r="W19" s="694"/>
      <c r="X19" s="61">
        <f>X8</f>
        <v>0.36391478260869564</v>
      </c>
      <c r="Y19" s="362">
        <f>Y16</f>
        <v>0.63339999999999996</v>
      </c>
      <c r="Z19" s="61">
        <f>Z10</f>
        <v>62.428876994614129</v>
      </c>
      <c r="AA19" s="61">
        <f>AA10</f>
        <v>1.7405173690926208</v>
      </c>
      <c r="AB19" s="61">
        <f>AB10</f>
        <v>0.57454181024423057</v>
      </c>
      <c r="AC19" s="61">
        <f>AB19/H6</f>
        <v>0.38258378735586263</v>
      </c>
      <c r="AD19" s="694">
        <f t="shared" si="11"/>
        <v>0</v>
      </c>
      <c r="AE19" s="720"/>
      <c r="AF19" s="727"/>
      <c r="AG19" s="721"/>
      <c r="AH19" s="722">
        <f>AD19*$AW$17</f>
        <v>0</v>
      </c>
      <c r="AI19" s="721"/>
      <c r="AJ19" s="721"/>
      <c r="AK19" s="721"/>
      <c r="AL19" s="721"/>
      <c r="AM19" s="721"/>
      <c r="AN19" s="721"/>
      <c r="AO19" s="722">
        <f>AD19*$AX$17</f>
        <v>0</v>
      </c>
      <c r="AP19" s="721"/>
      <c r="AQ19" s="723"/>
      <c r="AR19" s="645">
        <f>V19*T6</f>
        <v>0</v>
      </c>
      <c r="AT19" s="3" t="s">
        <v>80</v>
      </c>
      <c r="AU19" s="53">
        <f>AU18*AU17+AV18*AV17</f>
        <v>0.71132403551089718</v>
      </c>
      <c r="AV19" s="53"/>
      <c r="AW19" s="50">
        <f>AW18*AW17+AX18*AX17</f>
        <v>0.63339999999999996</v>
      </c>
      <c r="AX19" s="54"/>
      <c r="AY19" s="896"/>
      <c r="AZ19" s="896"/>
      <c r="BA19" s="896"/>
      <c r="BD19" s="1674" t="str">
        <f t="shared" ref="BD19:BD22" si="24">C25</f>
        <v>National rail</v>
      </c>
      <c r="BE19" s="1675">
        <f t="shared" ref="BE19:BE22" si="25">M25</f>
        <v>3557.9566285714291</v>
      </c>
      <c r="BF19" s="1676">
        <f t="shared" ref="BF19:BF22" si="26">M165</f>
        <v>2286.0762921313162</v>
      </c>
      <c r="BG19" s="1677">
        <f t="shared" ref="BG19:BG22" si="27">M305</f>
        <v>2449.346930663904</v>
      </c>
      <c r="BH19" s="1676">
        <f t="shared" si="16"/>
        <v>2480.3300835885502</v>
      </c>
      <c r="BI19" s="1678">
        <f t="shared" ref="BI19:BI22" si="28">M445</f>
        <v>2511.3132365131969</v>
      </c>
      <c r="BK19" s="1674" t="str">
        <f t="shared" si="18"/>
        <v>National rail</v>
      </c>
      <c r="BL19" s="1679">
        <f>K25</f>
        <v>0.57377142857142849</v>
      </c>
      <c r="BM19" s="1680">
        <f>K165</f>
        <v>0.3595714285714286</v>
      </c>
      <c r="BN19" s="1681">
        <f>K305</f>
        <v>0.33857142857142858</v>
      </c>
      <c r="BO19" s="1680">
        <f t="shared" si="19"/>
        <v>0.33857142857142858</v>
      </c>
      <c r="BP19" s="1682">
        <f>K445</f>
        <v>0.33857142857142858</v>
      </c>
      <c r="BR19" s="1971" t="s">
        <v>502</v>
      </c>
      <c r="BS19" s="1972"/>
      <c r="BT19" s="1972"/>
      <c r="BU19" s="1972"/>
      <c r="BV19" s="1972"/>
      <c r="BW19" s="1973"/>
      <c r="BY19" s="1971" t="s">
        <v>503</v>
      </c>
      <c r="BZ19" s="1972"/>
      <c r="CA19" s="1972"/>
      <c r="CB19" s="1972"/>
      <c r="CC19" s="1972"/>
      <c r="CD19" s="1973"/>
    </row>
    <row r="20" spans="2:83" ht="15.75" customHeight="1" x14ac:dyDescent="0.25">
      <c r="C20" s="562"/>
      <c r="D20" s="691"/>
      <c r="E20" s="448"/>
      <c r="F20" s="371"/>
      <c r="G20" s="373"/>
      <c r="H20" s="821"/>
      <c r="I20" s="691"/>
      <c r="J20" s="374"/>
      <c r="K20" s="363"/>
      <c r="L20" s="61"/>
      <c r="M20" s="538"/>
      <c r="N20" s="547"/>
      <c r="O20" s="380"/>
      <c r="P20" s="538"/>
      <c r="Q20" s="473"/>
      <c r="R20" s="538"/>
      <c r="S20" s="661"/>
      <c r="T20" s="525"/>
      <c r="U20" s="368" t="s">
        <v>410</v>
      </c>
      <c r="V20" s="375">
        <v>0</v>
      </c>
      <c r="W20" s="694"/>
      <c r="X20" s="61">
        <f>X7</f>
        <v>0.37919999999999998</v>
      </c>
      <c r="Y20" s="347">
        <f>AU18</f>
        <v>0.5</v>
      </c>
      <c r="Z20" s="61"/>
      <c r="AA20" s="61">
        <f>1/AB20</f>
        <v>1.3185654008438819</v>
      </c>
      <c r="AB20" s="61">
        <f>X20/Y20</f>
        <v>0.75839999999999996</v>
      </c>
      <c r="AC20" s="61">
        <f>AB20/$H$6</f>
        <v>0.50501380257660688</v>
      </c>
      <c r="AD20" s="694">
        <f>V20*$I$6*AB20</f>
        <v>0</v>
      </c>
      <c r="AE20" s="720"/>
      <c r="AF20" s="721"/>
      <c r="AG20" s="721"/>
      <c r="AH20" s="722">
        <f>AD20</f>
        <v>0</v>
      </c>
      <c r="AI20" s="721"/>
      <c r="AJ20" s="721"/>
      <c r="AK20" s="721"/>
      <c r="AL20" s="721"/>
      <c r="AM20" s="721"/>
      <c r="AN20" s="721"/>
      <c r="AO20" s="721"/>
      <c r="AP20" s="721"/>
      <c r="AQ20" s="721"/>
      <c r="AR20" s="645">
        <f>V20*T6</f>
        <v>0</v>
      </c>
      <c r="AT20" s="18" t="s">
        <v>104</v>
      </c>
      <c r="AU20" s="28"/>
      <c r="AV20" s="28"/>
      <c r="AW20" s="28"/>
      <c r="AX20" s="30"/>
      <c r="AY20" s="956"/>
      <c r="AZ20" s="956"/>
      <c r="BA20" s="956"/>
      <c r="BD20" s="1674" t="str">
        <f t="shared" si="24"/>
        <v>National rail (diesel)</v>
      </c>
      <c r="BE20" s="1675">
        <f t="shared" si="25"/>
        <v>2634.1848000000005</v>
      </c>
      <c r="BF20" s="1676">
        <f t="shared" si="26"/>
        <v>241.14153975401845</v>
      </c>
      <c r="BG20" s="1677">
        <f t="shared" si="27"/>
        <v>0</v>
      </c>
      <c r="BH20" s="1676">
        <f t="shared" si="16"/>
        <v>0</v>
      </c>
      <c r="BI20" s="1678">
        <f t="shared" si="28"/>
        <v>0</v>
      </c>
      <c r="BK20" s="1674" t="str">
        <f t="shared" si="18"/>
        <v>National rail (diesel)</v>
      </c>
      <c r="BL20" s="1679">
        <f>K26</f>
        <v>0.75857142857142856</v>
      </c>
      <c r="BM20" s="1680">
        <f>K166</f>
        <v>0.75857142857142856</v>
      </c>
      <c r="BN20" s="1681">
        <f>K306</f>
        <v>0.75857142857142856</v>
      </c>
      <c r="BO20" s="1680">
        <f t="shared" si="19"/>
        <v>0.75857142857142856</v>
      </c>
      <c r="BP20" s="1682">
        <f>K446</f>
        <v>0.75857142857142856</v>
      </c>
      <c r="BR20" s="1704" t="s">
        <v>454</v>
      </c>
      <c r="BS20" s="1705">
        <v>2010</v>
      </c>
      <c r="BT20" s="1705">
        <v>2020</v>
      </c>
      <c r="BU20" s="1705">
        <v>2030</v>
      </c>
      <c r="BV20" s="1705">
        <v>2040</v>
      </c>
      <c r="BW20" s="1706">
        <v>2050</v>
      </c>
      <c r="BY20" s="1704" t="s">
        <v>454</v>
      </c>
      <c r="BZ20" s="1705">
        <v>2010</v>
      </c>
      <c r="CA20" s="1705">
        <v>2020</v>
      </c>
      <c r="CB20" s="1705">
        <v>2030</v>
      </c>
      <c r="CC20" s="1705">
        <v>2040</v>
      </c>
      <c r="CD20" s="1706">
        <v>2050</v>
      </c>
    </row>
    <row r="21" spans="2:83" ht="15.75" customHeight="1" thickBot="1" x14ac:dyDescent="0.3">
      <c r="C21" s="562"/>
      <c r="D21" s="691"/>
      <c r="E21" s="448"/>
      <c r="F21" s="371"/>
      <c r="G21" s="373"/>
      <c r="H21" s="821"/>
      <c r="I21" s="691"/>
      <c r="J21" s="374"/>
      <c r="K21" s="363"/>
      <c r="L21" s="61"/>
      <c r="M21" s="538"/>
      <c r="N21" s="547"/>
      <c r="O21" s="380"/>
      <c r="P21" s="538"/>
      <c r="Q21" s="473"/>
      <c r="R21" s="538"/>
      <c r="S21" s="661"/>
      <c r="T21" s="525"/>
      <c r="U21" s="368" t="s">
        <v>411</v>
      </c>
      <c r="V21" s="375">
        <v>0</v>
      </c>
      <c r="W21" s="694"/>
      <c r="X21" s="61">
        <f>X20</f>
        <v>0.37919999999999998</v>
      </c>
      <c r="Y21" s="347">
        <f>AU19</f>
        <v>0.71132403551089718</v>
      </c>
      <c r="Z21" s="61"/>
      <c r="AA21" s="61">
        <f>1/AB21</f>
        <v>1.8758545240266276</v>
      </c>
      <c r="AB21" s="61">
        <f>X21/Y21</f>
        <v>0.53309037944661275</v>
      </c>
      <c r="AC21" s="61">
        <f>AB21/$H$6</f>
        <v>0.35498153961147172</v>
      </c>
      <c r="AD21" s="694">
        <f>V21*$I$6*AB21</f>
        <v>0</v>
      </c>
      <c r="AE21" s="720"/>
      <c r="AF21" s="721"/>
      <c r="AG21" s="721"/>
      <c r="AH21" s="722">
        <f>AD21*$AU$17</f>
        <v>0</v>
      </c>
      <c r="AI21" s="721"/>
      <c r="AJ21" s="721"/>
      <c r="AK21" s="721"/>
      <c r="AL21" s="721"/>
      <c r="AM21" s="721"/>
      <c r="AN21" s="721"/>
      <c r="AO21" s="722">
        <f>AD21*$AV$17</f>
        <v>0</v>
      </c>
      <c r="AP21" s="721"/>
      <c r="AQ21" s="721"/>
      <c r="AR21" s="645">
        <f>V21*T6</f>
        <v>0</v>
      </c>
      <c r="AT21" s="151" t="s">
        <v>108</v>
      </c>
      <c r="AU21" s="51" t="s">
        <v>90</v>
      </c>
      <c r="AV21" s="51"/>
      <c r="AW21" s="51" t="s">
        <v>92</v>
      </c>
      <c r="AX21" s="52"/>
      <c r="AY21" s="896"/>
      <c r="AZ21" s="896"/>
      <c r="BA21" s="896"/>
      <c r="BD21" s="1674" t="str">
        <f t="shared" si="24"/>
        <v>National rail (electricity)</v>
      </c>
      <c r="BE21" s="1675">
        <f t="shared" si="25"/>
        <v>923.77182857142861</v>
      </c>
      <c r="BF21" s="1676">
        <f t="shared" si="26"/>
        <v>2044.9347523772979</v>
      </c>
      <c r="BG21" s="1677">
        <f t="shared" si="27"/>
        <v>2449.346930663904</v>
      </c>
      <c r="BH21" s="1676">
        <f t="shared" si="16"/>
        <v>2480.3300835885502</v>
      </c>
      <c r="BI21" s="1678">
        <f t="shared" si="28"/>
        <v>2511.3132365131969</v>
      </c>
      <c r="BK21" s="1674" t="str">
        <f t="shared" si="18"/>
        <v>National rail (electricity)</v>
      </c>
      <c r="BL21" s="1679">
        <f>K27</f>
        <v>0.33857142857142858</v>
      </c>
      <c r="BM21" s="1680">
        <f>K167</f>
        <v>0.33857142857142858</v>
      </c>
      <c r="BN21" s="1681">
        <f>K307</f>
        <v>0.33857142857142858</v>
      </c>
      <c r="BO21" s="1680">
        <f t="shared" si="19"/>
        <v>0.33857142857142858</v>
      </c>
      <c r="BP21" s="1682">
        <f>K447</f>
        <v>0.33857142857142858</v>
      </c>
      <c r="BR21" s="1707" t="str">
        <f>$C$6</f>
        <v>Cars and vans &lt; 2 t</v>
      </c>
      <c r="BS21" s="532">
        <f>P6</f>
        <v>91793.355476646262</v>
      </c>
      <c r="BT21" s="532">
        <f>P146</f>
        <v>97212.619593283394</v>
      </c>
      <c r="BU21" s="532">
        <f>P286</f>
        <v>102968.99091845899</v>
      </c>
      <c r="BV21" s="532">
        <f>AVERAGE(BU21,BW21)</f>
        <v>109808.80672338911</v>
      </c>
      <c r="BW21" s="748">
        <f>P426</f>
        <v>116648.62252831922</v>
      </c>
      <c r="BY21" s="1707" t="str">
        <f>BR21</f>
        <v>Cars and vans &lt; 2 t</v>
      </c>
      <c r="BZ21" s="532">
        <f>BS21/1000</f>
        <v>91.793355476646269</v>
      </c>
      <c r="CA21" s="532">
        <f t="shared" ref="CA21:CD27" si="29">BT21/1000</f>
        <v>97.212619593283392</v>
      </c>
      <c r="CB21" s="532">
        <f t="shared" si="29"/>
        <v>102.968990918459</v>
      </c>
      <c r="CC21" s="532">
        <f t="shared" si="29"/>
        <v>109.80880672338911</v>
      </c>
      <c r="CD21" s="748">
        <f t="shared" si="29"/>
        <v>116.64862252831922</v>
      </c>
      <c r="CE21" s="405"/>
    </row>
    <row r="22" spans="2:83" ht="15.75" customHeight="1" thickBot="1" x14ac:dyDescent="0.3">
      <c r="C22" s="562"/>
      <c r="D22" s="691"/>
      <c r="E22" s="448"/>
      <c r="F22" s="371"/>
      <c r="G22" s="373"/>
      <c r="H22" s="821"/>
      <c r="I22" s="691"/>
      <c r="J22" s="374"/>
      <c r="K22" s="363"/>
      <c r="L22" s="61"/>
      <c r="M22" s="538"/>
      <c r="N22" s="547"/>
      <c r="O22" s="380"/>
      <c r="P22" s="538"/>
      <c r="Q22" s="473"/>
      <c r="R22" s="538"/>
      <c r="S22" s="661"/>
      <c r="T22" s="525"/>
      <c r="U22" s="368" t="s">
        <v>85</v>
      </c>
      <c r="V22" s="295">
        <v>0</v>
      </c>
      <c r="W22" s="694"/>
      <c r="X22" s="601">
        <v>0.37808217391304355</v>
      </c>
      <c r="Y22" s="347">
        <f>X22/AB22</f>
        <v>0.16020431098010321</v>
      </c>
      <c r="Z22" s="61"/>
      <c r="AA22" s="61">
        <f>1/AB22</f>
        <v>0.42372881355932207</v>
      </c>
      <c r="AB22" s="601">
        <v>2.36</v>
      </c>
      <c r="AC22" s="61">
        <f>AB22/$H$6</f>
        <v>1.5715091957816354</v>
      </c>
      <c r="AD22" s="694">
        <f>V22*$I$6*AB22</f>
        <v>0</v>
      </c>
      <c r="AE22" s="720"/>
      <c r="AF22" s="721"/>
      <c r="AG22" s="721"/>
      <c r="AH22" s="721"/>
      <c r="AI22" s="721"/>
      <c r="AJ22" s="721"/>
      <c r="AK22" s="721"/>
      <c r="AL22" s="722">
        <f>AD22</f>
        <v>0</v>
      </c>
      <c r="AM22" s="721"/>
      <c r="AN22" s="721"/>
      <c r="AO22" s="721"/>
      <c r="AP22" s="721"/>
      <c r="AQ22" s="723"/>
      <c r="AR22" s="645">
        <f>V22*T6</f>
        <v>0</v>
      </c>
      <c r="AT22" s="3"/>
      <c r="AU22" s="8" t="s">
        <v>67</v>
      </c>
      <c r="AV22" s="8" t="s">
        <v>5</v>
      </c>
      <c r="AW22" s="8" t="s">
        <v>3</v>
      </c>
      <c r="AX22" s="10" t="s">
        <v>70</v>
      </c>
      <c r="AY22" s="896"/>
      <c r="AZ22" s="896"/>
      <c r="BA22" s="896"/>
      <c r="BD22" s="1708" t="str">
        <f t="shared" si="24"/>
        <v>International rail (electricity)</v>
      </c>
      <c r="BE22" s="1709">
        <f t="shared" si="25"/>
        <v>364.67301587301586</v>
      </c>
      <c r="BF22" s="1710">
        <f t="shared" si="26"/>
        <v>373.89309231791151</v>
      </c>
      <c r="BG22" s="1711">
        <f t="shared" si="27"/>
        <v>383.3462811839338</v>
      </c>
      <c r="BH22" s="1710">
        <f t="shared" si="16"/>
        <v>388.19544171089797</v>
      </c>
      <c r="BI22" s="1712">
        <f t="shared" si="28"/>
        <v>393.04460223786214</v>
      </c>
      <c r="BK22" s="1708" t="str">
        <f t="shared" si="18"/>
        <v>International rail (electricity)</v>
      </c>
      <c r="BL22" s="1713">
        <f>K28</f>
        <v>0.33862433862433861</v>
      </c>
      <c r="BM22" s="1714">
        <f>K168</f>
        <v>0.33862433862433861</v>
      </c>
      <c r="BN22" s="1715">
        <f>K308</f>
        <v>0.33862433862433861</v>
      </c>
      <c r="BO22" s="1714">
        <f t="shared" si="19"/>
        <v>0.33862433862433861</v>
      </c>
      <c r="BP22" s="1716">
        <f>K448</f>
        <v>0.33862433862433861</v>
      </c>
      <c r="BR22" s="1707" t="str">
        <f>$C$24</f>
        <v>Rail</v>
      </c>
      <c r="BS22" s="532">
        <f>P24</f>
        <v>3922.6296444444451</v>
      </c>
      <c r="BT22" s="532">
        <f>P164</f>
        <v>2659.9693844492281</v>
      </c>
      <c r="BU22" s="532">
        <f>P304</f>
        <v>2832.693211847838</v>
      </c>
      <c r="BV22" s="532">
        <f t="shared" ref="BV22:BV27" si="30">AVERAGE(BU22,BW22)</f>
        <v>2868.5255252994484</v>
      </c>
      <c r="BW22" s="748">
        <f>P444</f>
        <v>2904.3578387510588</v>
      </c>
      <c r="BY22" s="1707" t="str">
        <f t="shared" ref="BY22:BY27" si="31">BR22</f>
        <v>Rail</v>
      </c>
      <c r="BZ22" s="532">
        <f t="shared" ref="BZ22:BZ27" si="32">BS22/1000</f>
        <v>3.9226296444444451</v>
      </c>
      <c r="CA22" s="532">
        <f t="shared" si="29"/>
        <v>2.6599693844492283</v>
      </c>
      <c r="CB22" s="532">
        <f t="shared" si="29"/>
        <v>2.8326932118478378</v>
      </c>
      <c r="CC22" s="532">
        <f t="shared" si="29"/>
        <v>2.8685255252994484</v>
      </c>
      <c r="CD22" s="748">
        <f t="shared" si="29"/>
        <v>2.9043578387510589</v>
      </c>
      <c r="CE22" s="405"/>
    </row>
    <row r="23" spans="2:83" ht="15.75" customHeight="1" x14ac:dyDescent="0.25">
      <c r="C23" s="563"/>
      <c r="D23" s="692"/>
      <c r="E23" s="456"/>
      <c r="F23" s="389"/>
      <c r="G23" s="387"/>
      <c r="H23" s="825"/>
      <c r="I23" s="773"/>
      <c r="J23" s="390"/>
      <c r="K23" s="383"/>
      <c r="L23" s="384"/>
      <c r="M23" s="692"/>
      <c r="N23" s="548"/>
      <c r="O23" s="380"/>
      <c r="P23" s="538"/>
      <c r="Q23" s="473"/>
      <c r="R23" s="538"/>
      <c r="S23" s="661"/>
      <c r="T23" s="525"/>
      <c r="U23" s="391" t="s">
        <v>57</v>
      </c>
      <c r="V23" s="357">
        <f>1-SUM(V7:V22)</f>
        <v>1</v>
      </c>
      <c r="W23" s="694">
        <f>AB23*73.5</f>
        <v>195.31530441500306</v>
      </c>
      <c r="X23" s="61">
        <f>(X12*Q8+X8*Q7+Q9*X13+Q10*X11)</f>
        <v>0.35942484869565211</v>
      </c>
      <c r="Y23" s="347">
        <f>X23/AB23</f>
        <v>0.13525681696196443</v>
      </c>
      <c r="Z23" s="61"/>
      <c r="AA23" s="61"/>
      <c r="AB23" s="61">
        <f>L6</f>
        <v>2.6573510804762321</v>
      </c>
      <c r="AC23" s="411">
        <f>K6</f>
        <v>1.7695134149951965</v>
      </c>
      <c r="AD23" s="694">
        <f t="shared" si="11"/>
        <v>91793.355476646262</v>
      </c>
      <c r="AE23" s="728">
        <f>+AD23*Q8</f>
        <v>65127.385710680537</v>
      </c>
      <c r="AF23" s="729">
        <f>AD23*Q7</f>
        <v>26207.002988582495</v>
      </c>
      <c r="AG23" s="730"/>
      <c r="AH23" s="730"/>
      <c r="AI23" s="893"/>
      <c r="AJ23" s="729">
        <f>AD23*Q9</f>
        <v>229.48338869161566</v>
      </c>
      <c r="AK23" s="729">
        <f>AD23*Q10</f>
        <v>229.48338869161566</v>
      </c>
      <c r="AL23" s="730"/>
      <c r="AM23" s="730"/>
      <c r="AN23" s="730"/>
      <c r="AO23" s="730"/>
      <c r="AP23" s="730"/>
      <c r="AQ23" s="731"/>
      <c r="AR23" s="645">
        <f>T6-SUM(V7:V22)*T6</f>
        <v>2120322</v>
      </c>
      <c r="AT23" s="3"/>
      <c r="AU23" s="24">
        <v>0.27129642927276876</v>
      </c>
      <c r="AV23" s="24">
        <v>0.72870357072723124</v>
      </c>
      <c r="AW23" s="24">
        <v>0.27</v>
      </c>
      <c r="AX23" s="40">
        <v>0.73</v>
      </c>
      <c r="AY23" s="896"/>
      <c r="AZ23" s="896"/>
      <c r="BA23" s="896"/>
      <c r="BD23" s="1695" t="str">
        <f>C30</f>
        <v>Bus</v>
      </c>
      <c r="BE23" s="1696">
        <f>M30</f>
        <v>8960.2001741258719</v>
      </c>
      <c r="BF23" s="1697">
        <f>M170</f>
        <v>8529.1201741195728</v>
      </c>
      <c r="BG23" s="1698">
        <f>M310</f>
        <v>7908.6069578625884</v>
      </c>
      <c r="BH23" s="1697">
        <f t="shared" si="16"/>
        <v>7696.3341873848767</v>
      </c>
      <c r="BI23" s="1699">
        <f>M450</f>
        <v>7484.061416907165</v>
      </c>
      <c r="BK23" s="1695" t="str">
        <f t="shared" si="18"/>
        <v>Bus</v>
      </c>
      <c r="BL23" s="1700">
        <f t="shared" ref="BL23:BL29" si="33">K30</f>
        <v>0.98409718798460322</v>
      </c>
      <c r="BM23" s="1701">
        <f t="shared" ref="BM23:BM29" si="34">K170</f>
        <v>0.91365172398894634</v>
      </c>
      <c r="BN23" s="1702">
        <f t="shared" ref="BN23:BN29" si="35">K310</f>
        <v>0.82629024197649437</v>
      </c>
      <c r="BO23" s="1701">
        <f t="shared" si="19"/>
        <v>0.79446495633530634</v>
      </c>
      <c r="BP23" s="1703">
        <f t="shared" ref="BP23:BP29" si="36">K450</f>
        <v>0.76263967069411842</v>
      </c>
      <c r="BR23" s="1707" t="str">
        <f>$C$30</f>
        <v>Bus</v>
      </c>
      <c r="BS23" s="532">
        <f>P30</f>
        <v>8960.2001741258719</v>
      </c>
      <c r="BT23" s="532">
        <f>P170</f>
        <v>8529.1201741195728</v>
      </c>
      <c r="BU23" s="532">
        <f>P310</f>
        <v>7908.6069578625884</v>
      </c>
      <c r="BV23" s="532">
        <f t="shared" si="30"/>
        <v>7696.3341873848767</v>
      </c>
      <c r="BW23" s="748">
        <f>P450</f>
        <v>7484.061416907165</v>
      </c>
      <c r="BY23" s="1707" t="str">
        <f t="shared" si="31"/>
        <v>Bus</v>
      </c>
      <c r="BZ23" s="532">
        <f t="shared" si="32"/>
        <v>8.9602001741258714</v>
      </c>
      <c r="CA23" s="532">
        <f t="shared" si="29"/>
        <v>8.5291201741195728</v>
      </c>
      <c r="CB23" s="532">
        <f t="shared" si="29"/>
        <v>7.9086069578625882</v>
      </c>
      <c r="CC23" s="532">
        <f t="shared" si="29"/>
        <v>7.6963341873848767</v>
      </c>
      <c r="CD23" s="748">
        <f t="shared" si="29"/>
        <v>7.4840614169071653</v>
      </c>
      <c r="CE23" s="405"/>
    </row>
    <row r="24" spans="2:83" ht="15.75" customHeight="1" thickBot="1" x14ac:dyDescent="0.3">
      <c r="C24" s="564" t="s">
        <v>76</v>
      </c>
      <c r="D24" s="693">
        <f>D28+D25</f>
        <v>7277.9250000000002</v>
      </c>
      <c r="E24" s="392">
        <f>E28+E25</f>
        <v>8.1604356743856826E-2</v>
      </c>
      <c r="F24" s="56">
        <v>210</v>
      </c>
      <c r="G24" s="351">
        <f>H24/F24</f>
        <v>0.4073985717082822</v>
      </c>
      <c r="H24" s="826">
        <f>((H25*D25)+(H28*D28))/(D25+D28)</f>
        <v>85.553700058739267</v>
      </c>
      <c r="I24" s="693">
        <f>I25+I28</f>
        <v>81.861428571428576</v>
      </c>
      <c r="J24" s="393">
        <f>J25+J28</f>
        <v>2.1204944148341294E-3</v>
      </c>
      <c r="K24" s="352">
        <f>L24/H24</f>
        <v>0.54475768148089454</v>
      </c>
      <c r="L24" s="1317">
        <f>((L25*I25)+(L28*I28))/(I25+I28)</f>
        <v>46.606035286110675</v>
      </c>
      <c r="M24" s="693">
        <f>M28+M25</f>
        <v>3922.6296444444451</v>
      </c>
      <c r="N24" s="392">
        <f>N28+N25</f>
        <v>2.9255504230336512E-2</v>
      </c>
      <c r="O24" s="681" t="s">
        <v>60</v>
      </c>
      <c r="P24" s="759">
        <f>SUM(P25:P26)</f>
        <v>3922.6296444444451</v>
      </c>
      <c r="Q24" s="801">
        <f>SUM(Q25:Q26)</f>
        <v>1</v>
      </c>
      <c r="R24" s="759">
        <f>SUM(R25:R26)</f>
        <v>7277.9250000000002</v>
      </c>
      <c r="S24" s="797">
        <f>SUM(S25:S26)</f>
        <v>1</v>
      </c>
      <c r="T24" s="680">
        <f>(139.1)*1000/302</f>
        <v>460.59602649006621</v>
      </c>
      <c r="U24" s="685" t="s">
        <v>56</v>
      </c>
      <c r="V24" s="396"/>
      <c r="W24" s="707"/>
      <c r="X24" s="394"/>
      <c r="Y24" s="605"/>
      <c r="Z24" s="394"/>
      <c r="AA24" s="394"/>
      <c r="AB24" s="394"/>
      <c r="AC24" s="394"/>
      <c r="AD24" s="693">
        <f>SUM(AD25:AD29)</f>
        <v>3922.6296444444442</v>
      </c>
      <c r="AE24" s="725"/>
      <c r="AF24" s="721"/>
      <c r="AG24" s="721"/>
      <c r="AH24" s="721"/>
      <c r="AI24" s="721"/>
      <c r="AJ24" s="721"/>
      <c r="AK24" s="721"/>
      <c r="AL24" s="721"/>
      <c r="AM24" s="721"/>
      <c r="AN24" s="721"/>
      <c r="AO24" s="721"/>
      <c r="AP24" s="721"/>
      <c r="AQ24" s="723"/>
      <c r="AR24" s="646">
        <f>SUM(AR25:AR29)</f>
        <v>460.59602649006621</v>
      </c>
      <c r="AT24" s="3" t="s">
        <v>79</v>
      </c>
      <c r="AU24" s="8">
        <v>0.5</v>
      </c>
      <c r="AV24" s="8">
        <v>0.9</v>
      </c>
      <c r="AW24" s="8">
        <v>0.25</v>
      </c>
      <c r="AX24" s="10">
        <v>0.9</v>
      </c>
      <c r="AY24" s="896"/>
      <c r="AZ24" s="896"/>
      <c r="BA24" s="896"/>
      <c r="BB24" s="41"/>
      <c r="BD24" s="1674" t="str">
        <f t="shared" ref="BD24:BD29" si="37">C31</f>
        <v>National bus</v>
      </c>
      <c r="BE24" s="1675">
        <f t="shared" ref="BE24:BE29" si="38">M31</f>
        <v>7870.7851741258728</v>
      </c>
      <c r="BF24" s="1676">
        <f t="shared" ref="BF24:BF29" si="39">M171</f>
        <v>7492.1175096791048</v>
      </c>
      <c r="BG24" s="1677">
        <f t="shared" ref="BG24:BG29" si="40">M311</f>
        <v>6947.0486353287506</v>
      </c>
      <c r="BH24" s="1676">
        <f t="shared" si="16"/>
        <v>6760.5847905174278</v>
      </c>
      <c r="BI24" s="1678">
        <f t="shared" ref="BI24:BI29" si="41">M451</f>
        <v>6574.120945706105</v>
      </c>
      <c r="BJ24" s="41"/>
      <c r="BK24" s="1674" t="str">
        <f t="shared" si="18"/>
        <v>National bus</v>
      </c>
      <c r="BL24" s="1679">
        <f t="shared" si="33"/>
        <v>1.0856261926344568</v>
      </c>
      <c r="BM24" s="1680">
        <f t="shared" si="34"/>
        <v>1.007912941433831</v>
      </c>
      <c r="BN24" s="1681">
        <f t="shared" si="35"/>
        <v>0.91153839740215525</v>
      </c>
      <c r="BO24" s="1680">
        <f t="shared" si="19"/>
        <v>0.8764297050849833</v>
      </c>
      <c r="BP24" s="1682">
        <f t="shared" si="36"/>
        <v>0.84132101276781135</v>
      </c>
      <c r="BQ24" s="41"/>
      <c r="BR24" s="1707" t="str">
        <f>$C$41</f>
        <v>Bicycle/walking</v>
      </c>
      <c r="BS24" s="532">
        <f>P41</f>
        <v>0</v>
      </c>
      <c r="BT24" s="532">
        <f>P181</f>
        <v>0</v>
      </c>
      <c r="BU24" s="532">
        <f>P321</f>
        <v>0</v>
      </c>
      <c r="BV24" s="532">
        <f t="shared" si="30"/>
        <v>0</v>
      </c>
      <c r="BW24" s="1717">
        <f>P461</f>
        <v>0</v>
      </c>
      <c r="BY24" s="1707" t="str">
        <f t="shared" si="31"/>
        <v>Bicycle/walking</v>
      </c>
      <c r="BZ24" s="532">
        <f t="shared" si="32"/>
        <v>0</v>
      </c>
      <c r="CA24" s="532">
        <f t="shared" si="29"/>
        <v>0</v>
      </c>
      <c r="CB24" s="532">
        <f t="shared" si="29"/>
        <v>0</v>
      </c>
      <c r="CC24" s="532">
        <f t="shared" si="29"/>
        <v>0</v>
      </c>
      <c r="CD24" s="1717">
        <f t="shared" si="29"/>
        <v>0</v>
      </c>
      <c r="CE24" s="405"/>
    </row>
    <row r="25" spans="2:83" ht="15.75" customHeight="1" thickBot="1" x14ac:dyDescent="0.3">
      <c r="C25" s="565" t="s">
        <v>17</v>
      </c>
      <c r="D25" s="694">
        <v>6201</v>
      </c>
      <c r="E25" s="549">
        <f>D25/$D$56</f>
        <v>6.9529243042303429E-2</v>
      </c>
      <c r="F25" s="502">
        <v>210</v>
      </c>
      <c r="G25" s="1318">
        <f>H25/F25</f>
        <v>0.4</v>
      </c>
      <c r="H25" s="827">
        <f>((H26*D26)+(H27*D27))/(D26+D27)</f>
        <v>84</v>
      </c>
      <c r="I25" s="694">
        <f>SUM(I26:I27)</f>
        <v>73.821428571428584</v>
      </c>
      <c r="J25" s="63">
        <f>I25/I56</f>
        <v>1.9122305793161554E-3</v>
      </c>
      <c r="K25" s="363">
        <f>((I26*K26)+(I27*K27))/SUM(I26:I27)</f>
        <v>0.57377142857142849</v>
      </c>
      <c r="L25" s="364">
        <f>((I26*L26)+(I27*L27))/SUM(I26:I27)</f>
        <v>48.196799999999996</v>
      </c>
      <c r="M25" s="694">
        <f>SUM(M26:M27)</f>
        <v>3557.9566285714291</v>
      </c>
      <c r="N25" s="549">
        <f>M25/$M$56</f>
        <v>2.6535723387994568E-2</v>
      </c>
      <c r="O25" s="380" t="s">
        <v>3</v>
      </c>
      <c r="P25" s="538">
        <f>M26</f>
        <v>2634.1848000000005</v>
      </c>
      <c r="Q25" s="473">
        <f>P25/SUM(P25:P26)</f>
        <v>0.67153543382071579</v>
      </c>
      <c r="R25" s="538">
        <f>D26</f>
        <v>3472.5600000000004</v>
      </c>
      <c r="S25" s="661">
        <f>D26/SUM(D25+D28)</f>
        <v>0.47713599686723901</v>
      </c>
      <c r="T25" s="677">
        <f>S25*T24</f>
        <v>219.76694425242695</v>
      </c>
      <c r="U25" s="368" t="s">
        <v>415</v>
      </c>
      <c r="V25" s="294">
        <v>0</v>
      </c>
      <c r="W25" s="694"/>
      <c r="X25" s="606"/>
      <c r="Y25" s="58"/>
      <c r="Z25" s="58"/>
      <c r="AA25" s="58"/>
      <c r="AB25" s="58"/>
      <c r="AC25" s="61">
        <f>K26</f>
        <v>0.75857142857142856</v>
      </c>
      <c r="AD25" s="694">
        <f>V25*($D$25+$D$28)*AC25</f>
        <v>0</v>
      </c>
      <c r="AE25" s="725"/>
      <c r="AF25" s="721"/>
      <c r="AG25" s="721"/>
      <c r="AH25" s="722">
        <f>AD25</f>
        <v>0</v>
      </c>
      <c r="AJ25" s="721"/>
      <c r="AK25" s="721"/>
      <c r="AL25" s="721"/>
      <c r="AM25" s="721"/>
      <c r="AN25" s="721"/>
      <c r="AO25" s="721"/>
      <c r="AP25" s="721"/>
      <c r="AQ25" s="723"/>
      <c r="AR25" s="645">
        <f>V25*T24</f>
        <v>0</v>
      </c>
      <c r="AT25" s="3" t="s">
        <v>80</v>
      </c>
      <c r="AU25" s="53">
        <f>AU24*AU23+AV24*AV23</f>
        <v>0.79148142829089241</v>
      </c>
      <c r="AV25" s="53"/>
      <c r="AW25" s="50">
        <f>AW24*AW23+AX24*AX23</f>
        <v>0.72450000000000003</v>
      </c>
      <c r="AX25" s="54"/>
      <c r="BD25" s="1674" t="str">
        <f t="shared" si="37"/>
        <v>&lt; 5km</v>
      </c>
      <c r="BE25" s="1675">
        <f t="shared" si="38"/>
        <v>840.77267560217547</v>
      </c>
      <c r="BF25" s="1676">
        <f t="shared" si="39"/>
        <v>800.32265462491057</v>
      </c>
      <c r="BG25" s="1677">
        <f t="shared" si="40"/>
        <v>742.09733075486758</v>
      </c>
      <c r="BH25" s="1676">
        <f t="shared" si="16"/>
        <v>722.17889793822098</v>
      </c>
      <c r="BI25" s="1678">
        <f t="shared" si="41"/>
        <v>702.26046512157438</v>
      </c>
      <c r="BK25" s="1674" t="str">
        <f t="shared" si="18"/>
        <v>&lt; 5km</v>
      </c>
      <c r="BL25" s="1679">
        <f t="shared" si="33"/>
        <v>1.1297591297591296</v>
      </c>
      <c r="BM25" s="1680">
        <f t="shared" si="34"/>
        <v>1.0488866750939407</v>
      </c>
      <c r="BN25" s="1681">
        <f t="shared" si="35"/>
        <v>0.94859430767054365</v>
      </c>
      <c r="BO25" s="1680">
        <f t="shared" si="19"/>
        <v>0.91205837481599739</v>
      </c>
      <c r="BP25" s="1682">
        <f t="shared" si="36"/>
        <v>0.87552244196145113</v>
      </c>
      <c r="BR25" s="1718" t="str">
        <f>$C$46</f>
        <v>Air</v>
      </c>
      <c r="BS25" s="416">
        <f>P46</f>
        <v>26689.175738372647</v>
      </c>
      <c r="BT25" s="416">
        <f>P186</f>
        <v>33409.400224203091</v>
      </c>
      <c r="BU25" s="416">
        <f>P326</f>
        <v>36331.487865090639</v>
      </c>
      <c r="BV25" s="532">
        <f t="shared" si="30"/>
        <v>34339.680266271826</v>
      </c>
      <c r="BW25" s="748">
        <f>P466</f>
        <v>32347.872667453015</v>
      </c>
      <c r="BY25" s="1718" t="str">
        <f t="shared" si="31"/>
        <v>Air</v>
      </c>
      <c r="BZ25" s="416">
        <f t="shared" si="32"/>
        <v>26.689175738372647</v>
      </c>
      <c r="CA25" s="416">
        <f t="shared" si="29"/>
        <v>33.40940022420309</v>
      </c>
      <c r="CB25" s="416">
        <f t="shared" si="29"/>
        <v>36.331487865090637</v>
      </c>
      <c r="CC25" s="532">
        <f t="shared" si="29"/>
        <v>34.339680266271827</v>
      </c>
      <c r="CD25" s="748">
        <f t="shared" si="29"/>
        <v>32.347872667453018</v>
      </c>
      <c r="CE25" s="405"/>
    </row>
    <row r="26" spans="2:83" ht="15.75" customHeight="1" thickBot="1" x14ac:dyDescent="0.3">
      <c r="C26" s="562" t="s">
        <v>23</v>
      </c>
      <c r="D26" s="691">
        <f>D25*0.56</f>
        <v>3472.5600000000004</v>
      </c>
      <c r="E26" s="547">
        <f>D26/$D$56</f>
        <v>3.8936376103689926E-2</v>
      </c>
      <c r="F26" s="414">
        <v>210</v>
      </c>
      <c r="G26" s="399">
        <v>0.4</v>
      </c>
      <c r="H26" s="828">
        <f>G26*F26</f>
        <v>84</v>
      </c>
      <c r="I26" s="691">
        <f>D26/H26</f>
        <v>41.34</v>
      </c>
      <c r="J26" s="374">
        <f>I26/I56</f>
        <v>1.0708491244170468E-3</v>
      </c>
      <c r="K26" s="369">
        <f>L26/H26</f>
        <v>0.75857142857142856</v>
      </c>
      <c r="L26" s="398">
        <v>63.72</v>
      </c>
      <c r="M26" s="691">
        <f>K26*D26</f>
        <v>2634.1848000000005</v>
      </c>
      <c r="N26" s="547">
        <f>M26/$M$56</f>
        <v>1.9646107724962815E-2</v>
      </c>
      <c r="O26" s="380" t="s">
        <v>5</v>
      </c>
      <c r="P26" s="538">
        <f>M27+M28</f>
        <v>1288.4448444444445</v>
      </c>
      <c r="Q26" s="473">
        <f>P26/SUM(P25:P26)</f>
        <v>0.32846456617928421</v>
      </c>
      <c r="R26" s="538">
        <f>D27+D28</f>
        <v>3805.3649999999998</v>
      </c>
      <c r="S26" s="661">
        <f>R26/SUM(D25+D28)</f>
        <v>0.52286400313276105</v>
      </c>
      <c r="T26" s="677">
        <f>S26*T24</f>
        <v>240.82908223763926</v>
      </c>
      <c r="U26" s="368" t="s">
        <v>83</v>
      </c>
      <c r="V26" s="375">
        <v>0</v>
      </c>
      <c r="W26" s="694"/>
      <c r="X26" s="58"/>
      <c r="Y26" s="58"/>
      <c r="Z26" s="58"/>
      <c r="AA26" s="58"/>
      <c r="AB26" s="58"/>
      <c r="AC26" s="61">
        <f>K27</f>
        <v>0.33857142857142858</v>
      </c>
      <c r="AD26" s="694">
        <f>V26*($D$25+$D$28)*AC26</f>
        <v>0</v>
      </c>
      <c r="AE26" s="725"/>
      <c r="AF26" s="721"/>
      <c r="AG26" s="721"/>
      <c r="AH26" s="721"/>
      <c r="AI26" s="721"/>
      <c r="AJ26" s="721"/>
      <c r="AK26" s="721"/>
      <c r="AL26" s="721"/>
      <c r="AM26" s="721"/>
      <c r="AN26" s="721"/>
      <c r="AO26" s="721"/>
      <c r="AP26" s="722">
        <f>+AD26</f>
        <v>0</v>
      </c>
      <c r="AQ26" s="723"/>
      <c r="AR26" s="645">
        <f>V26*T24</f>
        <v>0</v>
      </c>
      <c r="AT26" s="18" t="s">
        <v>104</v>
      </c>
      <c r="AU26" s="28"/>
      <c r="AV26" s="28"/>
      <c r="AW26" s="28"/>
      <c r="AX26" s="30"/>
      <c r="AY26" s="896"/>
      <c r="BB26" s="32"/>
      <c r="BC26" s="32"/>
      <c r="BD26" s="1674" t="str">
        <f t="shared" si="37"/>
        <v>5-25 km</v>
      </c>
      <c r="BE26" s="1675">
        <f t="shared" si="38"/>
        <v>5507.9984569541557</v>
      </c>
      <c r="BF26" s="1676">
        <f t="shared" si="39"/>
        <v>5243.0057192120948</v>
      </c>
      <c r="BG26" s="1677">
        <f t="shared" si="40"/>
        <v>4861.5649286890703</v>
      </c>
      <c r="BH26" s="1676">
        <f t="shared" si="16"/>
        <v>4731.0769853927941</v>
      </c>
      <c r="BI26" s="1678">
        <f t="shared" si="41"/>
        <v>4600.5890420965179</v>
      </c>
      <c r="BJ26" s="32"/>
      <c r="BK26" s="1674" t="str">
        <f t="shared" si="18"/>
        <v>5-25 km</v>
      </c>
      <c r="BL26" s="1679">
        <f t="shared" si="33"/>
        <v>1.1297591297591296</v>
      </c>
      <c r="BM26" s="1680">
        <f t="shared" si="34"/>
        <v>1.0488866750939407</v>
      </c>
      <c r="BN26" s="1681">
        <f t="shared" si="35"/>
        <v>0.94859430767054365</v>
      </c>
      <c r="BO26" s="1680">
        <f t="shared" si="19"/>
        <v>0.91205837481599739</v>
      </c>
      <c r="BP26" s="1682">
        <f t="shared" si="36"/>
        <v>0.87552244196145113</v>
      </c>
      <c r="BQ26" s="32"/>
      <c r="BR26" s="1719" t="str">
        <f>$C$51</f>
        <v>Sea</v>
      </c>
      <c r="BS26" s="1720">
        <f>P51</f>
        <v>2716.4040100250631</v>
      </c>
      <c r="BT26" s="1720">
        <f>P191</f>
        <v>2758.3459480918591</v>
      </c>
      <c r="BU26" s="1720">
        <f>P331</f>
        <v>2728.4270230046309</v>
      </c>
      <c r="BV26" s="1720">
        <f t="shared" si="30"/>
        <v>2741.6384342773208</v>
      </c>
      <c r="BW26" s="1721">
        <f>P471</f>
        <v>2754.8498455500103</v>
      </c>
      <c r="BY26" s="1719" t="str">
        <f t="shared" si="31"/>
        <v>Sea</v>
      </c>
      <c r="BZ26" s="1720">
        <f t="shared" si="32"/>
        <v>2.7164040100250633</v>
      </c>
      <c r="CA26" s="1720">
        <f t="shared" si="29"/>
        <v>2.7583459480918591</v>
      </c>
      <c r="CB26" s="1720">
        <f t="shared" si="29"/>
        <v>2.728427023004631</v>
      </c>
      <c r="CC26" s="1720">
        <f t="shared" si="29"/>
        <v>2.7416384342773208</v>
      </c>
      <c r="CD26" s="1721">
        <f t="shared" si="29"/>
        <v>2.7548498455500101</v>
      </c>
      <c r="CE26" s="405"/>
    </row>
    <row r="27" spans="2:83" ht="15.75" customHeight="1" thickTop="1" thickBot="1" x14ac:dyDescent="0.3">
      <c r="B27" s="33"/>
      <c r="C27" s="562" t="s">
        <v>25</v>
      </c>
      <c r="D27" s="691">
        <f>D25*0.44</f>
        <v>2728.44</v>
      </c>
      <c r="E27" s="547">
        <f>D27/$D$56</f>
        <v>3.059286693861351E-2</v>
      </c>
      <c r="F27" s="414">
        <v>210</v>
      </c>
      <c r="G27" s="852">
        <v>0.4</v>
      </c>
      <c r="H27" s="828">
        <f>G27*F27</f>
        <v>84</v>
      </c>
      <c r="I27" s="691">
        <f>D27/H27</f>
        <v>32.481428571428573</v>
      </c>
      <c r="J27" s="374">
        <f>I27/I56</f>
        <v>8.4138145489910828E-4</v>
      </c>
      <c r="K27" s="369">
        <f>L27/H27</f>
        <v>0.33857142857142858</v>
      </c>
      <c r="L27" s="401">
        <v>28.44</v>
      </c>
      <c r="M27" s="691">
        <f>K27*D27</f>
        <v>923.77182857142861</v>
      </c>
      <c r="N27" s="547">
        <f>M27/$M$56</f>
        <v>6.8896156630317536E-3</v>
      </c>
      <c r="O27" s="659"/>
      <c r="P27" s="758"/>
      <c r="Q27" s="810"/>
      <c r="R27" s="758"/>
      <c r="S27" s="796"/>
      <c r="T27" s="756"/>
      <c r="U27" s="368" t="s">
        <v>95</v>
      </c>
      <c r="V27" s="375">
        <v>0</v>
      </c>
      <c r="W27" s="694"/>
      <c r="X27" s="58"/>
      <c r="Y27" s="58"/>
      <c r="Z27" s="58"/>
      <c r="AA27" s="58"/>
      <c r="AB27" s="58"/>
      <c r="AC27" s="61">
        <f>AC25</f>
        <v>0.75857142857142856</v>
      </c>
      <c r="AD27" s="694">
        <f>V27*($D$25+$D$28)*AC27</f>
        <v>0</v>
      </c>
      <c r="AE27" s="725"/>
      <c r="AF27" s="722">
        <f>AD27</f>
        <v>0</v>
      </c>
      <c r="AG27" s="721"/>
      <c r="AH27" s="721"/>
      <c r="AI27" s="721"/>
      <c r="AJ27" s="721"/>
      <c r="AK27" s="721"/>
      <c r="AL27" s="721"/>
      <c r="AM27" s="721"/>
      <c r="AN27" s="721"/>
      <c r="AO27" s="721"/>
      <c r="AP27" s="721"/>
      <c r="AQ27" s="723"/>
      <c r="AR27" s="645">
        <f>V27*T24</f>
        <v>0</v>
      </c>
      <c r="AT27" s="151" t="s">
        <v>110</v>
      </c>
      <c r="AU27" s="51" t="s">
        <v>90</v>
      </c>
      <c r="AV27" s="51"/>
      <c r="AW27" s="51" t="s">
        <v>92</v>
      </c>
      <c r="AX27" s="52"/>
      <c r="AY27" s="896"/>
      <c r="BD27" s="1674" t="str">
        <f t="shared" si="37"/>
        <v>25-50km</v>
      </c>
      <c r="BE27" s="1675">
        <f t="shared" si="38"/>
        <v>1202.0504393939391</v>
      </c>
      <c r="BF27" s="1676">
        <f t="shared" si="39"/>
        <v>1144.21915288788</v>
      </c>
      <c r="BG27" s="1677">
        <f t="shared" si="40"/>
        <v>1060.9745635085787</v>
      </c>
      <c r="BH27" s="1676">
        <f t="shared" si="16"/>
        <v>1032.4972335309596</v>
      </c>
      <c r="BI27" s="1678">
        <f t="shared" si="41"/>
        <v>1004.0199035533407</v>
      </c>
      <c r="BK27" s="1674" t="str">
        <f t="shared" si="18"/>
        <v>25-50km</v>
      </c>
      <c r="BL27" s="1679">
        <f t="shared" si="33"/>
        <v>1.1297591297591296</v>
      </c>
      <c r="BM27" s="1680">
        <f t="shared" si="34"/>
        <v>1.0488866750939407</v>
      </c>
      <c r="BN27" s="1681">
        <f t="shared" si="35"/>
        <v>0.94859430767054365</v>
      </c>
      <c r="BO27" s="1680">
        <f t="shared" si="19"/>
        <v>0.91205837481599739</v>
      </c>
      <c r="BP27" s="1682">
        <f t="shared" si="36"/>
        <v>0.87552244196145113</v>
      </c>
      <c r="BR27" s="1722" t="str">
        <f>$C$56</f>
        <v>Total</v>
      </c>
      <c r="BS27" s="706">
        <f>P56</f>
        <v>134081.76504361429</v>
      </c>
      <c r="BT27" s="706">
        <f>P196</f>
        <v>144569.45532414713</v>
      </c>
      <c r="BU27" s="706">
        <f>P336</f>
        <v>152770.2059762647</v>
      </c>
      <c r="BV27" s="706">
        <f t="shared" si="30"/>
        <v>157454.98513662259</v>
      </c>
      <c r="BW27" s="1723">
        <f>P476</f>
        <v>162139.76429698049</v>
      </c>
      <c r="BY27" s="1722" t="str">
        <f t="shared" si="31"/>
        <v>Total</v>
      </c>
      <c r="BZ27" s="706">
        <f t="shared" si="32"/>
        <v>134.0817650436143</v>
      </c>
      <c r="CA27" s="706">
        <f t="shared" si="29"/>
        <v>144.56945532414713</v>
      </c>
      <c r="CB27" s="706">
        <f t="shared" si="29"/>
        <v>152.77020597626469</v>
      </c>
      <c r="CC27" s="706">
        <f t="shared" si="29"/>
        <v>157.45498513662258</v>
      </c>
      <c r="CD27" s="1723">
        <f t="shared" si="29"/>
        <v>162.13976429698047</v>
      </c>
      <c r="CE27" s="405"/>
    </row>
    <row r="28" spans="2:83" ht="15.75" customHeight="1" thickBot="1" x14ac:dyDescent="0.3">
      <c r="B28" s="33"/>
      <c r="C28" s="561" t="s">
        <v>26</v>
      </c>
      <c r="D28" s="538">
        <v>1076.925</v>
      </c>
      <c r="E28" s="547">
        <f>D28/$D$56</f>
        <v>1.2075113701553397E-2</v>
      </c>
      <c r="F28" s="502">
        <v>210</v>
      </c>
      <c r="G28" s="403">
        <v>0.45</v>
      </c>
      <c r="H28" s="821">
        <f>G28*F28</f>
        <v>94.5</v>
      </c>
      <c r="I28" s="694">
        <v>8.0399999999999991</v>
      </c>
      <c r="J28" s="63">
        <f>I28/I56</f>
        <v>2.0826383551797423E-4</v>
      </c>
      <c r="K28" s="363">
        <f>L28/H28</f>
        <v>0.33862433862433861</v>
      </c>
      <c r="L28" s="402">
        <v>32</v>
      </c>
      <c r="M28" s="538">
        <f>K28*D28</f>
        <v>364.67301587301586</v>
      </c>
      <c r="N28" s="549">
        <f>M28/$M$56</f>
        <v>2.7197808423419434E-3</v>
      </c>
      <c r="O28" s="659"/>
      <c r="P28" s="758"/>
      <c r="Q28" s="810"/>
      <c r="R28" s="758"/>
      <c r="S28" s="796"/>
      <c r="T28" s="756"/>
      <c r="U28" s="368" t="s">
        <v>425</v>
      </c>
      <c r="V28" s="295">
        <v>0</v>
      </c>
      <c r="W28" s="694"/>
      <c r="X28" s="58"/>
      <c r="Y28" s="58"/>
      <c r="Z28" s="58"/>
      <c r="AA28" s="58"/>
      <c r="AB28" s="58"/>
      <c r="AC28" s="61">
        <f>AC27</f>
        <v>0.75857142857142856</v>
      </c>
      <c r="AD28" s="694">
        <f>V28*($D$25+$D$28)*AC28</f>
        <v>0</v>
      </c>
      <c r="AE28" s="725"/>
      <c r="AF28" s="532"/>
      <c r="AG28" s="721"/>
      <c r="AH28" s="721"/>
      <c r="AI28" s="722">
        <f>AD28</f>
        <v>0</v>
      </c>
      <c r="AJ28" s="721"/>
      <c r="AK28" s="721"/>
      <c r="AL28" s="721"/>
      <c r="AM28" s="721"/>
      <c r="AN28" s="721"/>
      <c r="AO28" s="721"/>
      <c r="AP28" s="721"/>
      <c r="AQ28" s="723"/>
      <c r="AR28" s="645">
        <f>V28*T25</f>
        <v>0</v>
      </c>
      <c r="AT28" s="3"/>
      <c r="AU28" s="8" t="s">
        <v>67</v>
      </c>
      <c r="AV28" s="8" t="s">
        <v>5</v>
      </c>
      <c r="AW28" s="8" t="s">
        <v>3</v>
      </c>
      <c r="AX28" s="10" t="s">
        <v>70</v>
      </c>
      <c r="AY28" s="896"/>
      <c r="BD28" s="1674" t="str">
        <f t="shared" si="37"/>
        <v>&gt;50 km</v>
      </c>
      <c r="BE28" s="1675">
        <f t="shared" si="38"/>
        <v>319.96360217560215</v>
      </c>
      <c r="BF28" s="1676">
        <f t="shared" si="39"/>
        <v>304.56998295421783</v>
      </c>
      <c r="BG28" s="1677">
        <f t="shared" si="40"/>
        <v>282.41181237623505</v>
      </c>
      <c r="BH28" s="1676">
        <f t="shared" si="16"/>
        <v>274.8316736554537</v>
      </c>
      <c r="BI28" s="1678">
        <f t="shared" si="41"/>
        <v>267.25153493467235</v>
      </c>
      <c r="BK28" s="1674" t="str">
        <f t="shared" si="18"/>
        <v>&gt;50 km</v>
      </c>
      <c r="BL28" s="1679">
        <f t="shared" si="33"/>
        <v>0.56487956487956481</v>
      </c>
      <c r="BM28" s="1680">
        <f t="shared" si="34"/>
        <v>0.52444333754697037</v>
      </c>
      <c r="BN28" s="1681">
        <f t="shared" si="35"/>
        <v>0.47429715383527182</v>
      </c>
      <c r="BO28" s="1680">
        <f t="shared" si="19"/>
        <v>0.45602918740799869</v>
      </c>
      <c r="BP28" s="1682">
        <f t="shared" si="36"/>
        <v>0.43776122098072556</v>
      </c>
      <c r="BR28" s="346"/>
      <c r="BS28" s="517"/>
      <c r="BT28" s="517"/>
      <c r="BU28" s="517"/>
      <c r="BV28" s="346"/>
      <c r="BW28" s="517"/>
    </row>
    <row r="29" spans="2:83" ht="15.75" customHeight="1" thickBot="1" x14ac:dyDescent="0.3">
      <c r="C29" s="561"/>
      <c r="J29" s="63"/>
      <c r="K29" s="363"/>
      <c r="O29" s="659"/>
      <c r="P29" s="758"/>
      <c r="Q29" s="810"/>
      <c r="R29" s="758"/>
      <c r="S29" s="796"/>
      <c r="T29" s="756"/>
      <c r="U29" s="391" t="s">
        <v>57</v>
      </c>
      <c r="V29" s="357">
        <f>1-SUM(V25:V28)</f>
        <v>1</v>
      </c>
      <c r="W29" s="694"/>
      <c r="X29" s="58"/>
      <c r="Y29" s="58"/>
      <c r="Z29" s="58"/>
      <c r="AA29" s="58"/>
      <c r="AB29" s="58"/>
      <c r="AC29" s="61">
        <f>((K25*D25)+(D28*K28))/SUM(D25+D28)</f>
        <v>0.53897637643207974</v>
      </c>
      <c r="AD29" s="694">
        <f>V29*($D$25+$D$28)*AC29</f>
        <v>3922.6296444444442</v>
      </c>
      <c r="AE29" s="732"/>
      <c r="AF29" s="729">
        <f>+AD29*Q25</f>
        <v>2634.1848</v>
      </c>
      <c r="AG29" s="730"/>
      <c r="AH29" s="730"/>
      <c r="AI29" s="730"/>
      <c r="AJ29" s="730"/>
      <c r="AK29" s="730"/>
      <c r="AL29" s="730"/>
      <c r="AM29" s="730"/>
      <c r="AN29" s="730"/>
      <c r="AO29" s="730"/>
      <c r="AP29" s="729">
        <f>AD29*Q26</f>
        <v>1288.4448444444442</v>
      </c>
      <c r="AQ29" s="731"/>
      <c r="AR29" s="645">
        <f>T24-SUM(V25:V28)*T24</f>
        <v>460.59602649006621</v>
      </c>
      <c r="AT29" s="3"/>
      <c r="AU29" s="24">
        <v>0.27129642927276876</v>
      </c>
      <c r="AV29" s="24">
        <v>0.72870357072723124</v>
      </c>
      <c r="AW29" s="24">
        <v>0.27</v>
      </c>
      <c r="AX29" s="40">
        <v>0.73</v>
      </c>
      <c r="AY29" s="896"/>
      <c r="BD29" s="1708" t="str">
        <f t="shared" si="37"/>
        <v>International bus</v>
      </c>
      <c r="BE29" s="1709">
        <f t="shared" si="38"/>
        <v>1089.415</v>
      </c>
      <c r="BF29" s="1710">
        <f t="shared" si="39"/>
        <v>1037.0026644404679</v>
      </c>
      <c r="BG29" s="1711">
        <f t="shared" si="40"/>
        <v>961.55832253383755</v>
      </c>
      <c r="BH29" s="1710">
        <f t="shared" si="16"/>
        <v>935.74939686744904</v>
      </c>
      <c r="BI29" s="1712">
        <f t="shared" si="41"/>
        <v>909.94047120106052</v>
      </c>
      <c r="BK29" s="1708" t="str">
        <f t="shared" si="18"/>
        <v>International bus</v>
      </c>
      <c r="BL29" s="1713">
        <f t="shared" si="33"/>
        <v>0.5872857142857143</v>
      </c>
      <c r="BM29" s="1714">
        <f t="shared" si="34"/>
        <v>0.54524556957432735</v>
      </c>
      <c r="BN29" s="1715">
        <f t="shared" si="35"/>
        <v>0.49311031960098745</v>
      </c>
      <c r="BO29" s="1714">
        <f t="shared" si="19"/>
        <v>0.47411774777007704</v>
      </c>
      <c r="BP29" s="1716">
        <f t="shared" si="36"/>
        <v>0.45512517593916663</v>
      </c>
      <c r="BR29" s="1971" t="s">
        <v>504</v>
      </c>
      <c r="BS29" s="1972"/>
      <c r="BT29" s="1972"/>
      <c r="BU29" s="1972"/>
      <c r="BV29" s="1972"/>
      <c r="BW29" s="1973"/>
      <c r="BY29" s="1971" t="s">
        <v>505</v>
      </c>
      <c r="BZ29" s="1972"/>
      <c r="CA29" s="1972"/>
      <c r="CB29" s="1972"/>
      <c r="CC29" s="1972"/>
      <c r="CD29" s="1973"/>
    </row>
    <row r="30" spans="2:83" ht="15.75" customHeight="1" thickBot="1" x14ac:dyDescent="0.3">
      <c r="C30" s="564" t="s">
        <v>69</v>
      </c>
      <c r="D30" s="693">
        <f>D36+D31</f>
        <v>9105</v>
      </c>
      <c r="E30" s="392">
        <f>E36+E31</f>
        <v>0.10209059150139861</v>
      </c>
      <c r="F30" s="1319">
        <f>(I31*F31+I36*F36)/(I31+I36)</f>
        <v>49.542996756222486</v>
      </c>
      <c r="G30" s="1320">
        <f>H30/F30</f>
        <v>0.29818616954276356</v>
      </c>
      <c r="H30" s="1321">
        <f>((H31*I31)+(H36*I36))/(I31+I36)</f>
        <v>14.773036430407544</v>
      </c>
      <c r="I30" s="693">
        <f>I31+I36</f>
        <v>616.32556332556339</v>
      </c>
      <c r="J30" s="393">
        <f>J31+J36</f>
        <v>1.5964965888800742E-2</v>
      </c>
      <c r="K30" s="1324">
        <f t="shared" ref="K30:K36" si="42">L30/H30</f>
        <v>0.98409718798460322</v>
      </c>
      <c r="L30" s="1325">
        <f>((L31*I31)+(L36*I36))/(I31+I36)</f>
        <v>14.538103609158163</v>
      </c>
      <c r="M30" s="759">
        <f>M36+M31</f>
        <v>8960.2001741258719</v>
      </c>
      <c r="N30" s="392">
        <f>N36+N31</f>
        <v>6.6826388891966668E-2</v>
      </c>
      <c r="O30" s="681" t="s">
        <v>60</v>
      </c>
      <c r="P30" s="759">
        <f>SUM(P31+P32)</f>
        <v>8960.2001741258719</v>
      </c>
      <c r="Q30" s="801">
        <f>SUM(Q31+Q32)</f>
        <v>1</v>
      </c>
      <c r="R30" s="759">
        <f>SUM(R31+R32)</f>
        <v>9105</v>
      </c>
      <c r="S30" s="797">
        <f>SUM(S31+S32)</f>
        <v>1</v>
      </c>
      <c r="T30" s="680">
        <f>14509</f>
        <v>14509</v>
      </c>
      <c r="U30" s="685" t="s">
        <v>56</v>
      </c>
      <c r="V30" s="396"/>
      <c r="W30" s="763"/>
      <c r="X30" s="607"/>
      <c r="Y30" s="607"/>
      <c r="Z30" s="607"/>
      <c r="AA30" s="607"/>
      <c r="AB30" s="607"/>
      <c r="AC30" s="607"/>
      <c r="AD30" s="693">
        <f>SUM(AD31:AD40)</f>
        <v>8960.204896599811</v>
      </c>
      <c r="AE30" s="720"/>
      <c r="AF30" s="721"/>
      <c r="AG30" s="721"/>
      <c r="AH30" s="892"/>
      <c r="AI30" s="892"/>
      <c r="AJ30" s="721"/>
      <c r="AK30" s="721"/>
      <c r="AL30" s="721"/>
      <c r="AM30" s="721"/>
      <c r="AN30" s="721"/>
      <c r="AO30" s="721"/>
      <c r="AP30" s="721"/>
      <c r="AQ30" s="723"/>
      <c r="AR30" s="646">
        <f>SUM(AR31:AR40)</f>
        <v>14509</v>
      </c>
      <c r="AT30" s="3" t="s">
        <v>79</v>
      </c>
      <c r="AU30" s="8">
        <v>0.6</v>
      </c>
      <c r="AV30" s="8">
        <v>0.9</v>
      </c>
      <c r="AW30" s="8">
        <v>0.25</v>
      </c>
      <c r="AX30" s="10">
        <v>0.9</v>
      </c>
      <c r="AY30" s="896"/>
      <c r="BD30" s="1660" t="str">
        <f>C41</f>
        <v>Bicycle/walking</v>
      </c>
      <c r="BE30" s="1661">
        <f>M41</f>
        <v>0</v>
      </c>
      <c r="BF30" s="1697">
        <f>M181</f>
        <v>0</v>
      </c>
      <c r="BG30" s="1698">
        <f>M321</f>
        <v>0</v>
      </c>
      <c r="BH30" s="1697">
        <f t="shared" si="16"/>
        <v>0</v>
      </c>
      <c r="BI30" s="1699">
        <f>M461</f>
        <v>0</v>
      </c>
      <c r="BK30" s="1660" t="str">
        <f t="shared" si="18"/>
        <v>Bicycle/walking</v>
      </c>
      <c r="BL30" s="1665">
        <f t="shared" ref="BL30:BL42" si="43">K41</f>
        <v>0</v>
      </c>
      <c r="BM30" s="1701">
        <f t="shared" ref="BM30:BM42" si="44">K181</f>
        <v>0</v>
      </c>
      <c r="BN30" s="1702">
        <f t="shared" ref="BN30:BN42" si="45">K321</f>
        <v>0</v>
      </c>
      <c r="BO30" s="1701">
        <f t="shared" si="19"/>
        <v>0</v>
      </c>
      <c r="BP30" s="1703">
        <f t="shared" ref="BP30:BP42" si="46">K461</f>
        <v>0</v>
      </c>
      <c r="BR30" s="1724" t="s">
        <v>454</v>
      </c>
      <c r="BS30" s="1705">
        <f>BS20</f>
        <v>2010</v>
      </c>
      <c r="BT30" s="1705">
        <f>BT20</f>
        <v>2020</v>
      </c>
      <c r="BU30" s="1705">
        <f>BU20</f>
        <v>2030</v>
      </c>
      <c r="BV30" s="1705">
        <f>BV20</f>
        <v>2040</v>
      </c>
      <c r="BW30" s="1706">
        <f>BW20</f>
        <v>2050</v>
      </c>
      <c r="BY30" s="1724" t="s">
        <v>454</v>
      </c>
      <c r="BZ30" s="1705">
        <f>BZ20</f>
        <v>2010</v>
      </c>
      <c r="CA30" s="1705">
        <f>CA20</f>
        <v>2020</v>
      </c>
      <c r="CB30" s="1705">
        <f>CB20</f>
        <v>2030</v>
      </c>
      <c r="CC30" s="1705">
        <f>CC20</f>
        <v>2040</v>
      </c>
      <c r="CD30" s="1706">
        <f>CD20</f>
        <v>2050</v>
      </c>
    </row>
    <row r="31" spans="2:83" ht="15.75" customHeight="1" thickBot="1" x14ac:dyDescent="0.3">
      <c r="C31" s="561" t="s">
        <v>8</v>
      </c>
      <c r="D31" s="538">
        <v>7250</v>
      </c>
      <c r="E31" s="547">
        <f>D31/D56</f>
        <v>8.1291245292162542E-2</v>
      </c>
      <c r="F31" s="1322">
        <f>((F32*I32)+(F33*I33)+(F34*I34)+(F35*I35))/(I32+I33+I34+I35)</f>
        <v>49.499999999999993</v>
      </c>
      <c r="G31" s="1318">
        <f>H31/F31</f>
        <v>0.26</v>
      </c>
      <c r="H31" s="1323">
        <f>((H32*I32)+(H33*I33)+(H34*I34)+(H35*I35))/(I32+I33+I34+I35)</f>
        <v>12.87</v>
      </c>
      <c r="I31" s="694">
        <f t="shared" ref="I31:I36" si="47">D31/H31</f>
        <v>563.32556332556339</v>
      </c>
      <c r="J31" s="63">
        <f>I31/I56</f>
        <v>1.4592082395958375E-2</v>
      </c>
      <c r="K31" s="363">
        <f t="shared" si="42"/>
        <v>1.0856261926344568</v>
      </c>
      <c r="L31" s="363">
        <f>((L32*I32)+(L33*I33)+(L34*I34)+(L35*I35))/(I32+I33+I34+I35)</f>
        <v>13.972009099205458</v>
      </c>
      <c r="M31" s="538">
        <f>SUM(M32:M35)</f>
        <v>7870.7851741258728</v>
      </c>
      <c r="N31" s="546">
        <f t="shared" ref="N31:N36" si="48">M31/$M$56</f>
        <v>5.8701383976901347E-2</v>
      </c>
      <c r="O31" s="380" t="s">
        <v>3</v>
      </c>
      <c r="P31" s="538">
        <f>Q31*M30</f>
        <v>8915.3991732552422</v>
      </c>
      <c r="Q31" s="473">
        <f>1-Q32</f>
        <v>0.995</v>
      </c>
      <c r="R31" s="538">
        <f>S31*D30</f>
        <v>9064.8884579784171</v>
      </c>
      <c r="S31" s="661">
        <f>Q31*Z36/(Q31*Z36+Q32*Z33)</f>
        <v>0.99559455881146819</v>
      </c>
      <c r="T31" s="677">
        <f>S31*T30</f>
        <v>14445.081453795592</v>
      </c>
      <c r="U31" s="368" t="s">
        <v>294</v>
      </c>
      <c r="V31" s="294">
        <v>0</v>
      </c>
      <c r="W31" s="694"/>
      <c r="X31" s="601">
        <v>2.0499999999999998</v>
      </c>
      <c r="Y31" s="608">
        <v>0.82</v>
      </c>
      <c r="Z31" s="61"/>
      <c r="AA31" s="61">
        <f t="shared" ref="AA31:AA36" si="49">1/AB31</f>
        <v>0.4</v>
      </c>
      <c r="AB31" s="61">
        <f t="shared" ref="AB31:AB36" si="50">X31/Y31</f>
        <v>2.5</v>
      </c>
      <c r="AC31" s="411">
        <f t="shared" ref="AC31:AC40" si="51">AB31/((($H$31*$I$31)+($H$36*$I$36))/SUM($I$31+$I$36))</f>
        <v>0.169227227711577</v>
      </c>
      <c r="AD31" s="532">
        <f t="shared" ref="AD31:AD40" si="52">(AB31*V31*$I$31)+(AB31*V31*$I$36)</f>
        <v>0</v>
      </c>
      <c r="AE31" s="720"/>
      <c r="AF31" s="721"/>
      <c r="AG31" s="721"/>
      <c r="AH31" s="892"/>
      <c r="AI31" s="892"/>
      <c r="AJ31" s="721"/>
      <c r="AK31" s="721"/>
      <c r="AL31" s="721"/>
      <c r="AM31" s="721"/>
      <c r="AN31" s="721"/>
      <c r="AO31" s="721"/>
      <c r="AP31" s="722">
        <f>+AD31</f>
        <v>0</v>
      </c>
      <c r="AQ31" s="723"/>
      <c r="AR31" s="645">
        <f>V31*T30</f>
        <v>0</v>
      </c>
      <c r="AT31" s="11" t="s">
        <v>80</v>
      </c>
      <c r="AU31" s="1574">
        <f>AU30*AU29+AV30*AV29</f>
        <v>0.81861107121816934</v>
      </c>
      <c r="AV31" s="1574"/>
      <c r="AW31" s="1575">
        <f>AW30*AW29+AX30*AX29</f>
        <v>0.72450000000000003</v>
      </c>
      <c r="AX31" s="1576"/>
      <c r="AY31" s="896"/>
      <c r="BD31" s="1674" t="str">
        <f t="shared" ref="BD31:BD34" si="53">C42</f>
        <v>&lt; 5km</v>
      </c>
      <c r="BE31" s="1675">
        <f t="shared" ref="BE31:BE34" si="54">M42</f>
        <v>0</v>
      </c>
      <c r="BF31" s="1676">
        <f t="shared" ref="BF31:BF34" si="55">M182</f>
        <v>0</v>
      </c>
      <c r="BG31" s="1677">
        <f t="shared" ref="BG31:BG34" si="56">M322</f>
        <v>0</v>
      </c>
      <c r="BH31" s="1676">
        <f t="shared" si="16"/>
        <v>0</v>
      </c>
      <c r="BI31" s="1678">
        <f t="shared" ref="BI31:BI34" si="57">M462</f>
        <v>0</v>
      </c>
      <c r="BK31" s="1674" t="str">
        <f t="shared" si="18"/>
        <v>&lt; 5km</v>
      </c>
      <c r="BL31" s="1679">
        <f t="shared" si="43"/>
        <v>0</v>
      </c>
      <c r="BM31" s="1680">
        <f t="shared" si="44"/>
        <v>0</v>
      </c>
      <c r="BN31" s="1681">
        <f t="shared" si="45"/>
        <v>0</v>
      </c>
      <c r="BO31" s="1680">
        <f t="shared" si="19"/>
        <v>0</v>
      </c>
      <c r="BP31" s="1682">
        <f t="shared" si="46"/>
        <v>0</v>
      </c>
      <c r="BR31" s="1707" t="str">
        <f>$C$85</f>
        <v>Vans (2-6 t)</v>
      </c>
      <c r="BS31" s="532">
        <f>P85</f>
        <v>40564.999999999993</v>
      </c>
      <c r="BT31" s="532">
        <f>P225</f>
        <v>43573.929304048164</v>
      </c>
      <c r="BU31" s="532">
        <f>P365</f>
        <v>46806.047454559011</v>
      </c>
      <c r="BV31" s="532">
        <f>AVERAGE(BU31,BW31)</f>
        <v>50286.278831379837</v>
      </c>
      <c r="BW31" s="748">
        <f>P505</f>
        <v>53766.510208200671</v>
      </c>
      <c r="BY31" s="1707" t="str">
        <f>BR31</f>
        <v>Vans (2-6 t)</v>
      </c>
      <c r="BZ31" s="532">
        <f>BS31/1000</f>
        <v>40.564999999999991</v>
      </c>
      <c r="CA31" s="532">
        <f t="shared" ref="CA31:CD41" si="58">BT31/1000</f>
        <v>43.573929304048164</v>
      </c>
      <c r="CB31" s="532">
        <f t="shared" si="58"/>
        <v>46.806047454559014</v>
      </c>
      <c r="CC31" s="532">
        <f t="shared" si="58"/>
        <v>50.286278831379839</v>
      </c>
      <c r="CD31" s="748">
        <f t="shared" si="58"/>
        <v>53.766510208200671</v>
      </c>
      <c r="CE31" s="405"/>
    </row>
    <row r="32" spans="2:83" ht="15.75" customHeight="1" thickBot="1" x14ac:dyDescent="0.3">
      <c r="C32" s="562" t="s">
        <v>27</v>
      </c>
      <c r="D32" s="691">
        <f>D31*0.102649</f>
        <v>744.20524999999998</v>
      </c>
      <c r="E32" s="547">
        <f>D32/$D$56</f>
        <v>8.3444650379951926E-3</v>
      </c>
      <c r="F32" s="371">
        <f>(45+54)/2</f>
        <v>49.5</v>
      </c>
      <c r="G32" s="399">
        <v>0.26</v>
      </c>
      <c r="H32" s="828">
        <f>G32*F32</f>
        <v>12.870000000000001</v>
      </c>
      <c r="I32" s="691">
        <f t="shared" si="47"/>
        <v>57.824805749805741</v>
      </c>
      <c r="J32" s="374">
        <f>I32/I56</f>
        <v>1.4978626658627308E-3</v>
      </c>
      <c r="K32" s="369">
        <f t="shared" si="42"/>
        <v>1.1297591297591296</v>
      </c>
      <c r="L32" s="370">
        <v>14.54</v>
      </c>
      <c r="M32" s="691">
        <f>D32*K32</f>
        <v>840.77267560217547</v>
      </c>
      <c r="N32" s="547">
        <f t="shared" si="48"/>
        <v>6.2705967163296794E-3</v>
      </c>
      <c r="O32" s="915" t="s">
        <v>74</v>
      </c>
      <c r="P32" s="912">
        <f>Q32*M30</f>
        <v>44.801000870629359</v>
      </c>
      <c r="Q32" s="913">
        <v>5.0000000000000001E-3</v>
      </c>
      <c r="R32" s="912">
        <f>S32*D30</f>
        <v>40.111542021581975</v>
      </c>
      <c r="S32" s="914">
        <f>Q32*Z33/(Q31*Z36+Q32*Z33)</f>
        <v>4.405441188531793E-3</v>
      </c>
      <c r="T32" s="677">
        <f>S32*T30</f>
        <v>63.918546204407782</v>
      </c>
      <c r="U32" s="368" t="s">
        <v>416</v>
      </c>
      <c r="V32" s="375">
        <v>0</v>
      </c>
      <c r="W32" s="694"/>
      <c r="X32" s="1528">
        <f>X31</f>
        <v>2.0499999999999998</v>
      </c>
      <c r="Y32" s="1527">
        <f>Y20</f>
        <v>0.5</v>
      </c>
      <c r="Z32" s="61"/>
      <c r="AA32" s="61">
        <f t="shared" si="49"/>
        <v>0.24390243902439027</v>
      </c>
      <c r="AB32" s="61">
        <f t="shared" si="50"/>
        <v>4.0999999999999996</v>
      </c>
      <c r="AC32" s="411">
        <f t="shared" si="51"/>
        <v>0.27753265344698624</v>
      </c>
      <c r="AD32" s="532">
        <f t="shared" si="52"/>
        <v>0</v>
      </c>
      <c r="AE32" s="720"/>
      <c r="AF32" s="721"/>
      <c r="AG32" s="721"/>
      <c r="AH32" s="722">
        <f>AD32</f>
        <v>0</v>
      </c>
      <c r="AI32" s="721"/>
      <c r="AJ32" s="721"/>
      <c r="AK32" s="721"/>
      <c r="AL32" s="721"/>
      <c r="AM32" s="721"/>
      <c r="AN32" s="721"/>
      <c r="AO32" s="721"/>
      <c r="AP32" s="721"/>
      <c r="AR32" s="645">
        <f>V32*T30</f>
        <v>0</v>
      </c>
      <c r="AT32" s="896"/>
      <c r="AU32" s="896"/>
      <c r="AV32" s="896"/>
      <c r="AW32" s="896"/>
      <c r="AX32" s="896"/>
      <c r="AY32" s="896"/>
      <c r="BD32" s="1674" t="str">
        <f t="shared" si="53"/>
        <v>5-25 km</v>
      </c>
      <c r="BE32" s="1675">
        <f t="shared" si="54"/>
        <v>0</v>
      </c>
      <c r="BF32" s="1676">
        <f t="shared" si="55"/>
        <v>0</v>
      </c>
      <c r="BG32" s="1677">
        <f t="shared" si="56"/>
        <v>0</v>
      </c>
      <c r="BH32" s="1676">
        <f t="shared" si="16"/>
        <v>0</v>
      </c>
      <c r="BI32" s="1678">
        <f t="shared" si="57"/>
        <v>0</v>
      </c>
      <c r="BK32" s="1674" t="str">
        <f t="shared" si="18"/>
        <v>5-25 km</v>
      </c>
      <c r="BL32" s="1679">
        <f t="shared" si="43"/>
        <v>0</v>
      </c>
      <c r="BM32" s="1680">
        <f t="shared" si="44"/>
        <v>0</v>
      </c>
      <c r="BN32" s="1681">
        <f t="shared" si="45"/>
        <v>0</v>
      </c>
      <c r="BO32" s="1680">
        <f t="shared" si="19"/>
        <v>0</v>
      </c>
      <c r="BP32" s="1682">
        <f t="shared" si="46"/>
        <v>0</v>
      </c>
      <c r="BR32" s="1707" t="str">
        <f>$C$61</f>
        <v>National truck</v>
      </c>
      <c r="BS32" s="532">
        <f>P61</f>
        <v>23967.446411321231</v>
      </c>
      <c r="BT32" s="532">
        <f>P201</f>
        <v>25954.410377540895</v>
      </c>
      <c r="BU32" s="532">
        <f>P341</f>
        <v>27470.25535625367</v>
      </c>
      <c r="BV32" s="532">
        <f>AVERAGE(BU32,BW32)</f>
        <v>28636.419959920684</v>
      </c>
      <c r="BW32" s="748">
        <f>P481</f>
        <v>29802.584563587698</v>
      </c>
      <c r="BY32" s="1707" t="str">
        <f t="shared" ref="BY32:BY41" si="59">BR32</f>
        <v>National truck</v>
      </c>
      <c r="BZ32" s="532">
        <f t="shared" ref="BZ32:BZ41" si="60">BS32/1000</f>
        <v>23.96744641132123</v>
      </c>
      <c r="CA32" s="532">
        <f t="shared" si="58"/>
        <v>25.954410377540896</v>
      </c>
      <c r="CB32" s="532">
        <f t="shared" si="58"/>
        <v>27.47025535625367</v>
      </c>
      <c r="CC32" s="532">
        <f t="shared" si="58"/>
        <v>28.636419959920683</v>
      </c>
      <c r="CD32" s="748">
        <f t="shared" si="58"/>
        <v>29.802584563587697</v>
      </c>
      <c r="CE32" s="405"/>
    </row>
    <row r="33" spans="3:83" ht="15.75" customHeight="1" thickBot="1" x14ac:dyDescent="0.3">
      <c r="C33" s="562" t="s">
        <v>28</v>
      </c>
      <c r="D33" s="691">
        <f>D31*0.6724654</f>
        <v>4875.3741499999996</v>
      </c>
      <c r="E33" s="547">
        <f>D33/$D$56</f>
        <v>5.4665549781892191E-2</v>
      </c>
      <c r="F33" s="371">
        <f>(45+54)/2</f>
        <v>49.5</v>
      </c>
      <c r="G33" s="852">
        <v>0.26</v>
      </c>
      <c r="H33" s="828">
        <f>G33*F33</f>
        <v>12.870000000000001</v>
      </c>
      <c r="I33" s="691">
        <f t="shared" si="47"/>
        <v>378.81695027195019</v>
      </c>
      <c r="J33" s="374">
        <f>I33/I56</f>
        <v>9.8126705252311042E-3</v>
      </c>
      <c r="K33" s="369">
        <f t="shared" si="42"/>
        <v>1.1297591297591296</v>
      </c>
      <c r="L33" s="376">
        <v>14.54</v>
      </c>
      <c r="M33" s="691">
        <f>D33*K33</f>
        <v>5507.9984569541557</v>
      </c>
      <c r="N33" s="547">
        <f t="shared" si="48"/>
        <v>4.1079399985244125E-2</v>
      </c>
      <c r="O33" s="659"/>
      <c r="P33" s="758"/>
      <c r="Q33" s="810"/>
      <c r="R33" s="758"/>
      <c r="S33" s="796"/>
      <c r="T33" s="756"/>
      <c r="U33" s="368" t="s">
        <v>422</v>
      </c>
      <c r="V33" s="375">
        <v>0</v>
      </c>
      <c r="W33" s="694"/>
      <c r="X33" s="601">
        <v>2.0495999999999999</v>
      </c>
      <c r="Y33" s="608">
        <v>0.21</v>
      </c>
      <c r="Z33" s="61">
        <f>1/((AB33/37600)/0.84*1000)</f>
        <v>3.236065573770492</v>
      </c>
      <c r="AA33" s="61">
        <f t="shared" si="49"/>
        <v>0.10245901639344263</v>
      </c>
      <c r="AB33" s="61">
        <f t="shared" si="50"/>
        <v>9.76</v>
      </c>
      <c r="AC33" s="411">
        <f t="shared" si="51"/>
        <v>0.66066309698599657</v>
      </c>
      <c r="AD33" s="532">
        <f t="shared" si="52"/>
        <v>0</v>
      </c>
      <c r="AE33" s="720"/>
      <c r="AF33" s="721"/>
      <c r="AG33" s="721"/>
      <c r="AH33" s="892"/>
      <c r="AI33" s="722">
        <f>+AD33</f>
        <v>0</v>
      </c>
      <c r="AJ33" s="733"/>
      <c r="AK33" s="733"/>
      <c r="AL33" s="733"/>
      <c r="AM33" s="733"/>
      <c r="AN33" s="721"/>
      <c r="AO33" s="721"/>
      <c r="AP33" s="721"/>
      <c r="AQ33" s="723"/>
      <c r="AR33" s="645">
        <f>V33*T30</f>
        <v>0</v>
      </c>
      <c r="AT33" s="896"/>
      <c r="AU33" s="896"/>
      <c r="AV33" s="896"/>
      <c r="AW33" s="896"/>
      <c r="AX33" s="896"/>
      <c r="AY33" s="896"/>
      <c r="BD33" s="1674" t="str">
        <f t="shared" si="53"/>
        <v>25-50km</v>
      </c>
      <c r="BE33" s="1675">
        <f t="shared" si="54"/>
        <v>0</v>
      </c>
      <c r="BF33" s="1676">
        <f t="shared" si="55"/>
        <v>0</v>
      </c>
      <c r="BG33" s="1677">
        <f t="shared" si="56"/>
        <v>0</v>
      </c>
      <c r="BH33" s="1676">
        <f t="shared" si="16"/>
        <v>0</v>
      </c>
      <c r="BI33" s="1678">
        <f t="shared" si="57"/>
        <v>0</v>
      </c>
      <c r="BK33" s="1674" t="str">
        <f t="shared" si="18"/>
        <v>25-50km</v>
      </c>
      <c r="BL33" s="1679">
        <f t="shared" si="43"/>
        <v>0</v>
      </c>
      <c r="BM33" s="1680">
        <f t="shared" si="44"/>
        <v>0</v>
      </c>
      <c r="BN33" s="1681">
        <f t="shared" si="45"/>
        <v>0</v>
      </c>
      <c r="BO33" s="1680">
        <f t="shared" si="19"/>
        <v>0</v>
      </c>
      <c r="BP33" s="1682">
        <f t="shared" si="46"/>
        <v>0</v>
      </c>
      <c r="BR33" s="1707" t="str">
        <f>$C$73</f>
        <v>International truck</v>
      </c>
      <c r="BS33" s="532">
        <f>P73</f>
        <v>16357.653895896949</v>
      </c>
      <c r="BT33" s="532">
        <f>P213</f>
        <v>15756.227355682666</v>
      </c>
      <c r="BU33" s="532">
        <f>P353</f>
        <v>14896.967814403675</v>
      </c>
      <c r="BV33" s="532">
        <f t="shared" ref="BV33:BV41" si="61">AVERAGE(BU33,BW33)</f>
        <v>14682.797727359479</v>
      </c>
      <c r="BW33" s="748">
        <f>P493</f>
        <v>14468.627640315282</v>
      </c>
      <c r="BY33" s="1707" t="str">
        <f t="shared" si="59"/>
        <v>International truck</v>
      </c>
      <c r="BZ33" s="532">
        <f t="shared" si="60"/>
        <v>16.357653895896949</v>
      </c>
      <c r="CA33" s="532">
        <f t="shared" si="58"/>
        <v>15.756227355682666</v>
      </c>
      <c r="CB33" s="532">
        <f t="shared" si="58"/>
        <v>14.896967814403675</v>
      </c>
      <c r="CC33" s="532">
        <f t="shared" si="58"/>
        <v>14.682797727359478</v>
      </c>
      <c r="CD33" s="748">
        <f t="shared" si="58"/>
        <v>14.468627640315283</v>
      </c>
      <c r="CE33" s="405"/>
    </row>
    <row r="34" spans="3:83" ht="15.75" customHeight="1" x14ac:dyDescent="0.25">
      <c r="C34" s="562" t="s">
        <v>29</v>
      </c>
      <c r="D34" s="691">
        <f>D31*0.146757</f>
        <v>1063.9882499999999</v>
      </c>
      <c r="E34" s="547">
        <f>D34/$D$56</f>
        <v>1.1930059285341896E-2</v>
      </c>
      <c r="F34" s="371">
        <f>(45+54)/2</f>
        <v>49.5</v>
      </c>
      <c r="G34" s="852">
        <v>0.26</v>
      </c>
      <c r="H34" s="828">
        <f>G34*F34</f>
        <v>12.870000000000001</v>
      </c>
      <c r="I34" s="691">
        <f t="shared" si="47"/>
        <v>82.671969696969683</v>
      </c>
      <c r="J34" s="374">
        <f>I34/I56</f>
        <v>2.1414902361836627E-3</v>
      </c>
      <c r="K34" s="369">
        <f t="shared" si="42"/>
        <v>1.1297591297591296</v>
      </c>
      <c r="L34" s="376">
        <v>14.54</v>
      </c>
      <c r="M34" s="691">
        <f>D34*K34</f>
        <v>1202.0504393939391</v>
      </c>
      <c r="N34" s="547">
        <f t="shared" si="48"/>
        <v>8.965055307878252E-3</v>
      </c>
      <c r="O34" s="659"/>
      <c r="P34" s="758"/>
      <c r="Q34" s="810"/>
      <c r="R34" s="758"/>
      <c r="S34" s="796"/>
      <c r="T34" s="756"/>
      <c r="U34" s="368" t="s">
        <v>426</v>
      </c>
      <c r="V34" s="375">
        <v>0</v>
      </c>
      <c r="W34" s="694"/>
      <c r="X34" s="1529">
        <f>X35</f>
        <v>2.0495999999999999</v>
      </c>
      <c r="Y34" s="1527">
        <f>Y15</f>
        <v>0.291528304581187</v>
      </c>
      <c r="Z34" s="61">
        <f>1/((AB34/37600)/0.84*1000)</f>
        <v>4.4924033820707505</v>
      </c>
      <c r="AA34" s="61">
        <f t="shared" si="49"/>
        <v>0.14223668256303035</v>
      </c>
      <c r="AB34" s="61">
        <f t="shared" si="50"/>
        <v>7.0305351754591356</v>
      </c>
      <c r="AC34" s="411">
        <f t="shared" si="51"/>
        <v>0.47590319082867005</v>
      </c>
      <c r="AD34" s="532">
        <f t="shared" si="52"/>
        <v>0</v>
      </c>
      <c r="AE34" s="720"/>
      <c r="AF34" s="721"/>
      <c r="AG34" s="721"/>
      <c r="AH34" s="892"/>
      <c r="AI34" s="722">
        <f>+AD34</f>
        <v>0</v>
      </c>
      <c r="AJ34" s="721"/>
      <c r="AK34" s="721"/>
      <c r="AL34" s="721"/>
      <c r="AM34" s="721"/>
      <c r="AN34" s="721"/>
      <c r="AO34" s="721"/>
      <c r="AP34" s="721"/>
      <c r="AQ34" s="723"/>
      <c r="AR34" s="645">
        <f>V34*T30</f>
        <v>0</v>
      </c>
      <c r="AT34" s="896"/>
      <c r="AU34" s="896"/>
      <c r="AV34" s="896"/>
      <c r="AW34" s="896"/>
      <c r="AX34" s="896"/>
      <c r="AY34" s="896"/>
      <c r="BD34" s="1674" t="str">
        <f t="shared" si="53"/>
        <v>&gt;50 km</v>
      </c>
      <c r="BE34" s="1675">
        <f t="shared" si="54"/>
        <v>0</v>
      </c>
      <c r="BF34" s="1710">
        <f t="shared" si="55"/>
        <v>0</v>
      </c>
      <c r="BG34" s="1711">
        <f t="shared" si="56"/>
        <v>0</v>
      </c>
      <c r="BH34" s="1710">
        <f t="shared" si="16"/>
        <v>0</v>
      </c>
      <c r="BI34" s="1712">
        <f t="shared" si="57"/>
        <v>0</v>
      </c>
      <c r="BK34" s="1674" t="str">
        <f t="shared" si="18"/>
        <v>&gt;50 km</v>
      </c>
      <c r="BL34" s="1679">
        <f t="shared" si="43"/>
        <v>0</v>
      </c>
      <c r="BM34" s="1714">
        <f t="shared" si="44"/>
        <v>0</v>
      </c>
      <c r="BN34" s="1715">
        <f t="shared" si="45"/>
        <v>0</v>
      </c>
      <c r="BO34" s="1714">
        <f t="shared" si="19"/>
        <v>0</v>
      </c>
      <c r="BP34" s="1716">
        <f t="shared" si="46"/>
        <v>0</v>
      </c>
      <c r="BR34" s="1707" t="str">
        <f>$C$103</f>
        <v xml:space="preserve">National rail </v>
      </c>
      <c r="BS34" s="532">
        <f>P103</f>
        <v>67.254065477477468</v>
      </c>
      <c r="BT34" s="532">
        <f>P243</f>
        <v>58.696738738738738</v>
      </c>
      <c r="BU34" s="532">
        <f>P383</f>
        <v>55.125045045045042</v>
      </c>
      <c r="BV34" s="532">
        <f t="shared" si="61"/>
        <v>55.11752252252252</v>
      </c>
      <c r="BW34" s="748">
        <f>P523</f>
        <v>55.11</v>
      </c>
      <c r="BY34" s="1707" t="str">
        <f t="shared" si="59"/>
        <v xml:space="preserve">National rail </v>
      </c>
      <c r="BZ34" s="829">
        <f t="shared" si="60"/>
        <v>6.7254065477477462E-2</v>
      </c>
      <c r="CA34" s="829">
        <f t="shared" si="58"/>
        <v>5.8696738738738735E-2</v>
      </c>
      <c r="CB34" s="829">
        <f t="shared" si="58"/>
        <v>5.5125045045045042E-2</v>
      </c>
      <c r="CC34" s="829">
        <f t="shared" si="58"/>
        <v>5.511752252252252E-2</v>
      </c>
      <c r="CD34" s="1725">
        <f t="shared" si="58"/>
        <v>5.5109999999999999E-2</v>
      </c>
      <c r="CE34" s="405"/>
    </row>
    <row r="35" spans="3:83" ht="15.75" customHeight="1" thickBot="1" x14ac:dyDescent="0.3">
      <c r="C35" s="562" t="s">
        <v>30</v>
      </c>
      <c r="D35" s="691">
        <f>D31*0.078128</f>
        <v>566.428</v>
      </c>
      <c r="E35" s="547">
        <f>D35/$D$56</f>
        <v>6.3511224121860742E-3</v>
      </c>
      <c r="F35" s="371">
        <f>(45+54)/2</f>
        <v>49.5</v>
      </c>
      <c r="G35" s="852">
        <v>0.26</v>
      </c>
      <c r="H35" s="828">
        <f>G35*F35</f>
        <v>12.870000000000001</v>
      </c>
      <c r="I35" s="691">
        <f t="shared" si="47"/>
        <v>44.011499611499609</v>
      </c>
      <c r="J35" s="374">
        <f>I35/I56</f>
        <v>1.1400502134314356E-3</v>
      </c>
      <c r="K35" s="369">
        <f t="shared" si="42"/>
        <v>0.56487956487956481</v>
      </c>
      <c r="L35" s="376">
        <v>7.27</v>
      </c>
      <c r="M35" s="691">
        <f>D35*K35</f>
        <v>319.96360217560215</v>
      </c>
      <c r="N35" s="547">
        <f t="shared" si="48"/>
        <v>2.3863319674492941E-3</v>
      </c>
      <c r="O35" s="380"/>
      <c r="P35" s="538"/>
      <c r="Q35" s="473"/>
      <c r="R35" s="538"/>
      <c r="S35" s="661"/>
      <c r="T35" s="525"/>
      <c r="U35" s="368" t="s">
        <v>61</v>
      </c>
      <c r="V35" s="375">
        <v>0</v>
      </c>
      <c r="W35" s="694">
        <f>AB35*74</f>
        <v>520.25960298397604</v>
      </c>
      <c r="X35" s="1530">
        <f>X36</f>
        <v>2.0495999999999999</v>
      </c>
      <c r="Y35" s="1527">
        <f>Y9</f>
        <v>0.291528304581187</v>
      </c>
      <c r="Z35" s="61">
        <f>1/((AB35/42700)/0.84*1000)</f>
        <v>5.1017453301707727</v>
      </c>
      <c r="AA35" s="61">
        <f t="shared" si="49"/>
        <v>0.14223668256303035</v>
      </c>
      <c r="AB35" s="61">
        <f t="shared" si="50"/>
        <v>7.0305351754591356</v>
      </c>
      <c r="AC35" s="411">
        <f t="shared" si="51"/>
        <v>0.47590319082867005</v>
      </c>
      <c r="AD35" s="532">
        <f t="shared" si="52"/>
        <v>0</v>
      </c>
      <c r="AE35" s="720"/>
      <c r="AF35" s="722">
        <f>AD35</f>
        <v>0</v>
      </c>
      <c r="AG35" s="721"/>
      <c r="AH35" s="892"/>
      <c r="AI35" s="721"/>
      <c r="AJ35" s="721"/>
      <c r="AK35" s="721"/>
      <c r="AL35" s="721"/>
      <c r="AM35" s="721"/>
      <c r="AN35" s="721"/>
      <c r="AO35" s="721"/>
      <c r="AP35" s="721"/>
      <c r="AQ35" s="723"/>
      <c r="AR35" s="645">
        <f>V35*T30</f>
        <v>0</v>
      </c>
      <c r="AT35" s="896"/>
      <c r="AU35" s="896"/>
      <c r="AV35" s="896"/>
      <c r="AW35" s="896"/>
      <c r="AX35" s="896"/>
      <c r="AY35" s="896"/>
      <c r="BD35" s="1695" t="str">
        <f>C46</f>
        <v>Air</v>
      </c>
      <c r="BE35" s="1696">
        <f>M46</f>
        <v>26689.175738372647</v>
      </c>
      <c r="BF35" s="1697">
        <f>M186</f>
        <v>33409.400224203091</v>
      </c>
      <c r="BG35" s="1698">
        <f>M326</f>
        <v>36331.487865090639</v>
      </c>
      <c r="BH35" s="1697">
        <f t="shared" si="16"/>
        <v>34339.680266271826</v>
      </c>
      <c r="BI35" s="1699">
        <f>M466</f>
        <v>32347.872667453015</v>
      </c>
      <c r="BK35" s="1695" t="str">
        <f t="shared" si="18"/>
        <v>Air</v>
      </c>
      <c r="BL35" s="1700">
        <f t="shared" si="43"/>
        <v>1.584435115014464</v>
      </c>
      <c r="BM35" s="1701">
        <f t="shared" si="44"/>
        <v>1.4474747739230494</v>
      </c>
      <c r="BN35" s="1702">
        <f t="shared" si="45"/>
        <v>1.1826922764282228</v>
      </c>
      <c r="BO35" s="1701">
        <f t="shared" si="19"/>
        <v>0.98613353415244187</v>
      </c>
      <c r="BP35" s="1703">
        <f t="shared" si="46"/>
        <v>0.78957479187666091</v>
      </c>
      <c r="BR35" s="1707" t="s">
        <v>75</v>
      </c>
      <c r="BS35" s="532">
        <f>P109</f>
        <v>105.83999999999999</v>
      </c>
      <c r="BT35" s="532">
        <f>P249</f>
        <v>132.86364669360691</v>
      </c>
      <c r="BU35" s="532">
        <f>P389</f>
        <v>166.78711841197656</v>
      </c>
      <c r="BV35" s="532">
        <f t="shared" si="61"/>
        <v>188.21503065597398</v>
      </c>
      <c r="BW35" s="748">
        <f>P529</f>
        <v>209.64294289997142</v>
      </c>
      <c r="BY35" s="1707" t="str">
        <f t="shared" si="59"/>
        <v>International rail</v>
      </c>
      <c r="BZ35" s="829">
        <f t="shared" si="60"/>
        <v>0.10583999999999999</v>
      </c>
      <c r="CA35" s="829">
        <f t="shared" si="58"/>
        <v>0.1328636466936069</v>
      </c>
      <c r="CB35" s="829">
        <f t="shared" si="58"/>
        <v>0.16678711841197658</v>
      </c>
      <c r="CC35" s="829">
        <f t="shared" si="58"/>
        <v>0.18821503065597397</v>
      </c>
      <c r="CD35" s="1725">
        <f t="shared" si="58"/>
        <v>0.20964294289997143</v>
      </c>
      <c r="CE35" s="405"/>
    </row>
    <row r="36" spans="3:83" ht="15.75" customHeight="1" thickBot="1" x14ac:dyDescent="0.3">
      <c r="C36" s="561" t="s">
        <v>7</v>
      </c>
      <c r="D36" s="538">
        <v>1855</v>
      </c>
      <c r="E36" s="547">
        <f>D36/$D$56</f>
        <v>2.0799346209236069E-2</v>
      </c>
      <c r="F36" s="55">
        <v>50</v>
      </c>
      <c r="G36" s="426">
        <v>0.7</v>
      </c>
      <c r="H36" s="821">
        <f>G36*F36</f>
        <v>35</v>
      </c>
      <c r="I36" s="694">
        <f t="shared" si="47"/>
        <v>53</v>
      </c>
      <c r="J36" s="63">
        <f>I36/I56</f>
        <v>1.3728834928423677E-3</v>
      </c>
      <c r="K36" s="363">
        <f t="shared" si="42"/>
        <v>0.5872857142857143</v>
      </c>
      <c r="L36" s="379">
        <v>20.555</v>
      </c>
      <c r="M36" s="538">
        <f>D36*K36</f>
        <v>1089.415</v>
      </c>
      <c r="N36" s="546">
        <f t="shared" si="48"/>
        <v>8.125004915065322E-3</v>
      </c>
      <c r="O36" s="380"/>
      <c r="P36" s="538"/>
      <c r="Q36" s="473"/>
      <c r="R36" s="538"/>
      <c r="S36" s="661"/>
      <c r="T36" s="525"/>
      <c r="U36" s="368" t="s">
        <v>87</v>
      </c>
      <c r="V36" s="375">
        <v>0</v>
      </c>
      <c r="W36" s="694">
        <f>AB36*74</f>
        <v>722.24</v>
      </c>
      <c r="X36" s="601">
        <v>2.0495999999999999</v>
      </c>
      <c r="Y36" s="608">
        <v>0.21</v>
      </c>
      <c r="Z36" s="61">
        <f>1/((AB36/42700)/0.84*1000)</f>
        <v>3.6750000000000003</v>
      </c>
      <c r="AA36" s="61">
        <f t="shared" si="49"/>
        <v>0.10245901639344263</v>
      </c>
      <c r="AB36" s="61">
        <f t="shared" si="50"/>
        <v>9.76</v>
      </c>
      <c r="AC36" s="411">
        <f t="shared" si="51"/>
        <v>0.66066309698599657</v>
      </c>
      <c r="AD36" s="532">
        <f t="shared" si="52"/>
        <v>0</v>
      </c>
      <c r="AE36" s="720"/>
      <c r="AF36" s="722">
        <f>AD36</f>
        <v>0</v>
      </c>
      <c r="AG36" s="721"/>
      <c r="AH36" s="892"/>
      <c r="AI36" s="733"/>
      <c r="AJ36" s="733"/>
      <c r="AK36" s="733"/>
      <c r="AL36" s="733"/>
      <c r="AM36" s="733"/>
      <c r="AN36" s="721"/>
      <c r="AO36" s="721"/>
      <c r="AP36" s="721"/>
      <c r="AQ36" s="723"/>
      <c r="AR36" s="645">
        <f>V36*T30</f>
        <v>0</v>
      </c>
      <c r="AT36" s="896"/>
      <c r="AU36" s="896"/>
      <c r="AV36" s="896"/>
      <c r="AW36" s="896"/>
      <c r="AX36" s="896"/>
      <c r="AY36" s="896"/>
      <c r="AZ36" s="212"/>
      <c r="BD36" s="1674" t="str">
        <f t="shared" ref="BD36:BD39" si="62">C47</f>
        <v>National air</v>
      </c>
      <c r="BE36" s="1675">
        <f t="shared" ref="BE36:BE39" si="63">M47</f>
        <v>1620.5425925925927</v>
      </c>
      <c r="BF36" s="1676">
        <f t="shared" ref="BF36:BF39" si="64">M187</f>
        <v>2028.5885404265709</v>
      </c>
      <c r="BG36" s="1677">
        <f t="shared" ref="BG36:BG39" si="65">M327</f>
        <v>2206.0150569951716</v>
      </c>
      <c r="BH36" s="1676">
        <f t="shared" si="16"/>
        <v>2085.0743025193919</v>
      </c>
      <c r="BI36" s="1678">
        <f t="shared" ref="BI36:BI39" si="66">M467</f>
        <v>1964.1335480436123</v>
      </c>
      <c r="BK36" s="1674" t="str">
        <f t="shared" si="18"/>
        <v>National air</v>
      </c>
      <c r="BL36" s="1679">
        <f t="shared" si="43"/>
        <v>3.4479629629629631</v>
      </c>
      <c r="BM36" s="1680">
        <f t="shared" si="44"/>
        <v>3.1499171932100869</v>
      </c>
      <c r="BN36" s="1681">
        <f t="shared" si="45"/>
        <v>2.5737116825195079</v>
      </c>
      <c r="BO36" s="1680">
        <f t="shared" si="19"/>
        <v>2.1459710593843737</v>
      </c>
      <c r="BP36" s="1682">
        <f t="shared" si="46"/>
        <v>1.7182304362492398</v>
      </c>
      <c r="BR36" s="1707" t="str">
        <f>$C$115</f>
        <v>National air</v>
      </c>
      <c r="BS36" s="532">
        <f>P115</f>
        <v>11.9556</v>
      </c>
      <c r="BT36" s="532">
        <f>P255</f>
        <v>10.922144582081184</v>
      </c>
      <c r="BU36" s="532">
        <f>P395</f>
        <v>8.9241873309126838</v>
      </c>
      <c r="BV36" s="532">
        <f t="shared" si="61"/>
        <v>7.4410229672329038</v>
      </c>
      <c r="BW36" s="748">
        <f>P535</f>
        <v>5.9578586035531229</v>
      </c>
      <c r="BY36" s="1707" t="str">
        <f t="shared" si="59"/>
        <v>National air</v>
      </c>
      <c r="BZ36" s="829">
        <f t="shared" si="60"/>
        <v>1.19556E-2</v>
      </c>
      <c r="CA36" s="829">
        <f t="shared" si="58"/>
        <v>1.0922144582081185E-2</v>
      </c>
      <c r="CB36" s="829">
        <f t="shared" si="58"/>
        <v>8.9241873309126845E-3</v>
      </c>
      <c r="CC36" s="829">
        <f t="shared" si="58"/>
        <v>7.4410229672329034E-3</v>
      </c>
      <c r="CD36" s="1725">
        <f t="shared" si="58"/>
        <v>5.9578586035531232E-3</v>
      </c>
      <c r="CE36" s="405"/>
    </row>
    <row r="37" spans="3:83" ht="15.75" customHeight="1" x14ac:dyDescent="0.25">
      <c r="C37" s="561"/>
      <c r="D37" s="538"/>
      <c r="E37" s="547"/>
      <c r="F37" s="55"/>
      <c r="G37" s="381"/>
      <c r="H37" s="821"/>
      <c r="I37" s="694"/>
      <c r="J37" s="63"/>
      <c r="K37" s="363"/>
      <c r="L37" s="363"/>
      <c r="M37" s="538"/>
      <c r="N37" s="546"/>
      <c r="O37" s="380"/>
      <c r="P37" s="538"/>
      <c r="Q37" s="473"/>
      <c r="R37" s="538"/>
      <c r="S37" s="661"/>
      <c r="T37" s="525"/>
      <c r="U37" s="368" t="s">
        <v>483</v>
      </c>
      <c r="V37" s="375">
        <v>0</v>
      </c>
      <c r="W37" s="694"/>
      <c r="X37" s="61">
        <f>X36</f>
        <v>2.0495999999999999</v>
      </c>
      <c r="Y37" s="362">
        <f t="shared" ref="Y37:AC37" si="67">Y36</f>
        <v>0.21</v>
      </c>
      <c r="Z37" s="61">
        <f t="shared" si="67"/>
        <v>3.6750000000000003</v>
      </c>
      <c r="AA37" s="61">
        <f t="shared" si="67"/>
        <v>0.10245901639344263</v>
      </c>
      <c r="AB37" s="61">
        <f t="shared" si="67"/>
        <v>9.76</v>
      </c>
      <c r="AC37" s="61">
        <f t="shared" si="67"/>
        <v>0.66066309698599657</v>
      </c>
      <c r="AD37" s="532">
        <f t="shared" si="52"/>
        <v>0</v>
      </c>
      <c r="AE37" s="720"/>
      <c r="AF37" s="721"/>
      <c r="AG37" s="721"/>
      <c r="AH37" s="741"/>
      <c r="AI37" s="733"/>
      <c r="AJ37" s="733"/>
      <c r="AK37" s="1531">
        <f>AD37</f>
        <v>0</v>
      </c>
      <c r="AL37" s="733"/>
      <c r="AM37" s="733"/>
      <c r="AN37" s="721"/>
      <c r="AO37" s="721"/>
      <c r="AP37" s="721"/>
      <c r="AQ37" s="723"/>
      <c r="AR37" s="645">
        <f>V37*T30</f>
        <v>0</v>
      </c>
      <c r="AT37" s="956"/>
      <c r="AU37" s="956"/>
      <c r="AV37" s="956"/>
      <c r="AW37" s="956"/>
      <c r="AX37" s="956"/>
      <c r="AY37" s="956"/>
      <c r="AZ37" s="894"/>
      <c r="BD37" s="1674" t="str">
        <f t="shared" si="62"/>
        <v>International air</v>
      </c>
      <c r="BE37" s="1675">
        <f t="shared" si="63"/>
        <v>25068.633145780055</v>
      </c>
      <c r="BF37" s="1676">
        <f t="shared" si="64"/>
        <v>31380.811683776519</v>
      </c>
      <c r="BG37" s="1677">
        <f t="shared" si="65"/>
        <v>34125.472808095466</v>
      </c>
      <c r="BH37" s="1676">
        <f t="shared" si="16"/>
        <v>32254.605963752434</v>
      </c>
      <c r="BI37" s="1678">
        <f t="shared" si="66"/>
        <v>30383.739119409402</v>
      </c>
      <c r="BK37" s="1674" t="str">
        <f t="shared" si="18"/>
        <v>International air</v>
      </c>
      <c r="BL37" s="1679">
        <f t="shared" si="43"/>
        <v>1.530946291560102</v>
      </c>
      <c r="BM37" s="1680">
        <f t="shared" si="44"/>
        <v>1.3986095841129222</v>
      </c>
      <c r="BN37" s="1681">
        <f t="shared" si="45"/>
        <v>1.1427658586309697</v>
      </c>
      <c r="BO37" s="1680">
        <f t="shared" si="19"/>
        <v>0.95284272785127988</v>
      </c>
      <c r="BP37" s="1682">
        <f t="shared" si="46"/>
        <v>0.76291959707159018</v>
      </c>
      <c r="BR37" s="1707" t="str">
        <f>$C$119</f>
        <v>International air</v>
      </c>
      <c r="BS37" s="532">
        <f>P119</f>
        <v>6350.4000000000005</v>
      </c>
      <c r="BT37" s="532">
        <f>P259</f>
        <v>7282.7258802074048</v>
      </c>
      <c r="BU37" s="532">
        <f>P399</f>
        <v>7469.8358380587924</v>
      </c>
      <c r="BV37" s="532">
        <f t="shared" si="61"/>
        <v>6869.0718160252582</v>
      </c>
      <c r="BW37" s="748">
        <f>P539</f>
        <v>6268.3077939917239</v>
      </c>
      <c r="BY37" s="1707" t="str">
        <f t="shared" si="59"/>
        <v>International air</v>
      </c>
      <c r="BZ37" s="829">
        <f t="shared" si="60"/>
        <v>6.3504000000000005</v>
      </c>
      <c r="CA37" s="829">
        <f t="shared" si="58"/>
        <v>7.2827258802074049</v>
      </c>
      <c r="CB37" s="829">
        <f t="shared" si="58"/>
        <v>7.4698358380587928</v>
      </c>
      <c r="CC37" s="829">
        <f t="shared" si="58"/>
        <v>6.869071816025258</v>
      </c>
      <c r="CD37" s="1725">
        <f t="shared" si="58"/>
        <v>6.268307793991724</v>
      </c>
      <c r="CE37" s="405"/>
    </row>
    <row r="38" spans="3:83" ht="15.75" customHeight="1" x14ac:dyDescent="0.25">
      <c r="C38" s="561"/>
      <c r="D38" s="538"/>
      <c r="E38" s="547"/>
      <c r="F38" s="55"/>
      <c r="G38" s="381"/>
      <c r="H38" s="821"/>
      <c r="I38" s="694"/>
      <c r="J38" s="63"/>
      <c r="K38" s="363"/>
      <c r="L38" s="363"/>
      <c r="M38" s="538"/>
      <c r="N38" s="546"/>
      <c r="O38" s="380"/>
      <c r="P38" s="538"/>
      <c r="Q38" s="473"/>
      <c r="R38" s="538"/>
      <c r="S38" s="661"/>
      <c r="T38" s="525"/>
      <c r="U38" s="368" t="s">
        <v>412</v>
      </c>
      <c r="V38" s="375">
        <v>0</v>
      </c>
      <c r="W38" s="694"/>
      <c r="X38" s="61">
        <f t="shared" ref="X38:AC38" si="68">X36</f>
        <v>2.0495999999999999</v>
      </c>
      <c r="Y38" s="362">
        <f t="shared" si="68"/>
        <v>0.21</v>
      </c>
      <c r="Z38" s="61">
        <f t="shared" si="68"/>
        <v>3.6750000000000003</v>
      </c>
      <c r="AA38" s="61">
        <f t="shared" si="68"/>
        <v>0.10245901639344263</v>
      </c>
      <c r="AB38" s="61">
        <f t="shared" si="68"/>
        <v>9.76</v>
      </c>
      <c r="AC38" s="61">
        <f t="shared" si="68"/>
        <v>0.66066309698599657</v>
      </c>
      <c r="AD38" s="532">
        <f>(AB38*V38*$I$31)+(AB38*V38*$I$36)</f>
        <v>0</v>
      </c>
      <c r="AE38" s="720"/>
      <c r="AF38" s="721"/>
      <c r="AG38" s="721"/>
      <c r="AH38" s="722">
        <f>AD38</f>
        <v>0</v>
      </c>
      <c r="AI38" s="733"/>
      <c r="AJ38" s="733"/>
      <c r="AK38" s="733"/>
      <c r="AL38" s="733"/>
      <c r="AM38" s="733"/>
      <c r="AN38" s="721"/>
      <c r="AO38" s="721"/>
      <c r="AP38" s="721"/>
      <c r="AQ38" s="723"/>
      <c r="AR38" s="645">
        <f>V38*T30</f>
        <v>0</v>
      </c>
      <c r="AT38" s="896"/>
      <c r="AU38" s="896"/>
      <c r="AV38" s="896"/>
      <c r="AW38" s="896"/>
      <c r="AX38" s="896"/>
      <c r="AY38" s="896"/>
      <c r="AZ38" s="1526"/>
      <c r="BD38" s="1674" t="str">
        <f t="shared" si="62"/>
        <v>International air (1-1000km)</v>
      </c>
      <c r="BE38" s="1675">
        <f t="shared" si="63"/>
        <v>7713.5463874680299</v>
      </c>
      <c r="BF38" s="1676">
        <f t="shared" si="64"/>
        <v>9655.7855863775239</v>
      </c>
      <c r="BG38" s="1677">
        <f t="shared" si="65"/>
        <v>10500.309927900236</v>
      </c>
      <c r="BH38" s="1676">
        <f t="shared" si="16"/>
        <v>9924.6495755907963</v>
      </c>
      <c r="BI38" s="1678">
        <f t="shared" si="66"/>
        <v>9348.9892232813545</v>
      </c>
      <c r="BK38" s="1674" t="str">
        <f t="shared" si="18"/>
        <v>International air (1-1000km)</v>
      </c>
      <c r="BL38" s="1679">
        <f t="shared" si="43"/>
        <v>1.8842710997442453</v>
      </c>
      <c r="BM38" s="1680">
        <f t="shared" si="44"/>
        <v>1.7213926012281913</v>
      </c>
      <c r="BN38" s="1681">
        <f t="shared" si="45"/>
        <v>1.4065030844409734</v>
      </c>
      <c r="BO38" s="1680">
        <f t="shared" si="19"/>
        <v>1.1727478779559479</v>
      </c>
      <c r="BP38" s="1682">
        <f t="shared" si="46"/>
        <v>0.93899267147092236</v>
      </c>
      <c r="BR38" s="1707" t="str">
        <f>$C$123</f>
        <v>National sea</v>
      </c>
      <c r="BS38" s="532">
        <f>P123</f>
        <v>469.88</v>
      </c>
      <c r="BT38" s="532">
        <f>P263</f>
        <v>479.50473654922166</v>
      </c>
      <c r="BU38" s="532">
        <f>P403</f>
        <v>476.65931030863561</v>
      </c>
      <c r="BV38" s="532">
        <f>AVERAGE(BU38,BW38)</f>
        <v>480.16799360056802</v>
      </c>
      <c r="BW38" s="748">
        <f>P543</f>
        <v>483.67667689250044</v>
      </c>
      <c r="BY38" s="1707" t="str">
        <f t="shared" si="59"/>
        <v>National sea</v>
      </c>
      <c r="BZ38" s="829">
        <f t="shared" si="60"/>
        <v>0.46988000000000002</v>
      </c>
      <c r="CA38" s="829">
        <f t="shared" si="58"/>
        <v>0.47950473654922166</v>
      </c>
      <c r="CB38" s="829">
        <f t="shared" si="58"/>
        <v>0.47665931030863562</v>
      </c>
      <c r="CC38" s="829">
        <f t="shared" si="58"/>
        <v>0.480167993600568</v>
      </c>
      <c r="CD38" s="1725">
        <f t="shared" si="58"/>
        <v>0.48367667689250043</v>
      </c>
      <c r="CE38" s="405"/>
    </row>
    <row r="39" spans="3:83" ht="15.75" customHeight="1" thickBot="1" x14ac:dyDescent="0.3">
      <c r="C39" s="561"/>
      <c r="D39" s="538"/>
      <c r="E39" s="547"/>
      <c r="F39" s="55"/>
      <c r="G39" s="381"/>
      <c r="H39" s="821"/>
      <c r="I39" s="694"/>
      <c r="J39" s="63"/>
      <c r="K39" s="363"/>
      <c r="L39" s="363"/>
      <c r="M39" s="538"/>
      <c r="N39" s="546"/>
      <c r="O39" s="380"/>
      <c r="P39" s="538"/>
      <c r="Q39" s="473"/>
      <c r="R39" s="538"/>
      <c r="S39" s="661"/>
      <c r="T39" s="525"/>
      <c r="U39" s="368" t="s">
        <v>417</v>
      </c>
      <c r="V39" s="295">
        <v>0</v>
      </c>
      <c r="W39" s="694"/>
      <c r="X39" s="61">
        <f t="shared" ref="X39:AC39" si="69">X35</f>
        <v>2.0495999999999999</v>
      </c>
      <c r="Y39" s="362">
        <f t="shared" si="69"/>
        <v>0.291528304581187</v>
      </c>
      <c r="Z39" s="61">
        <f t="shared" si="69"/>
        <v>5.1017453301707727</v>
      </c>
      <c r="AA39" s="61">
        <f t="shared" si="69"/>
        <v>0.14223668256303035</v>
      </c>
      <c r="AB39" s="61">
        <f t="shared" si="69"/>
        <v>7.0305351754591356</v>
      </c>
      <c r="AC39" s="61">
        <f t="shared" si="69"/>
        <v>0.47590319082867005</v>
      </c>
      <c r="AD39" s="532">
        <f t="shared" si="52"/>
        <v>0</v>
      </c>
      <c r="AE39" s="720"/>
      <c r="AF39" s="721"/>
      <c r="AG39" s="721"/>
      <c r="AH39" s="722">
        <f>AD39</f>
        <v>0</v>
      </c>
      <c r="AI39" s="733"/>
      <c r="AJ39" s="733"/>
      <c r="AK39" s="733"/>
      <c r="AL39" s="733"/>
      <c r="AM39" s="733"/>
      <c r="AN39" s="721"/>
      <c r="AO39" s="721"/>
      <c r="AP39" s="721"/>
      <c r="AQ39" s="723"/>
      <c r="AR39" s="645">
        <f>V39*T30</f>
        <v>0</v>
      </c>
      <c r="AT39" s="896"/>
      <c r="AU39" s="896"/>
      <c r="AV39" s="896"/>
      <c r="AW39" s="896"/>
      <c r="AX39" s="896"/>
      <c r="AY39" s="896"/>
      <c r="AZ39" s="894"/>
      <c r="BD39" s="1674" t="str">
        <f t="shared" si="62"/>
        <v>International air (&gt;1000km)</v>
      </c>
      <c r="BE39" s="1675">
        <f t="shared" si="63"/>
        <v>17355.086758312023</v>
      </c>
      <c r="BF39" s="1710">
        <f t="shared" si="64"/>
        <v>21725.026097398993</v>
      </c>
      <c r="BG39" s="1711">
        <f t="shared" si="65"/>
        <v>23625.162880195228</v>
      </c>
      <c r="BH39" s="1710">
        <f t="shared" si="16"/>
        <v>22329.956388161638</v>
      </c>
      <c r="BI39" s="1712">
        <f t="shared" si="66"/>
        <v>21034.749896128047</v>
      </c>
      <c r="BK39" s="1674" t="str">
        <f t="shared" si="18"/>
        <v>International air (&gt;1000km)</v>
      </c>
      <c r="BL39" s="1679">
        <f t="shared" si="43"/>
        <v>1.4131713554987213</v>
      </c>
      <c r="BM39" s="1714">
        <f t="shared" si="44"/>
        <v>1.2910152450744992</v>
      </c>
      <c r="BN39" s="1715">
        <f t="shared" si="45"/>
        <v>1.054853450027635</v>
      </c>
      <c r="BO39" s="1714">
        <f t="shared" si="19"/>
        <v>0.87954101114972394</v>
      </c>
      <c r="BP39" s="1716">
        <f t="shared" si="46"/>
        <v>0.7042285722718129</v>
      </c>
      <c r="BR39" s="1726" t="str">
        <f>$C$128</f>
        <v>International sea</v>
      </c>
      <c r="BS39" s="532">
        <f>P128</f>
        <v>3240.5314285714285</v>
      </c>
      <c r="BT39" s="532">
        <f>P268</f>
        <v>3776.7243086831509</v>
      </c>
      <c r="BU39" s="532">
        <f>P408</f>
        <v>4287.6918595976122</v>
      </c>
      <c r="BV39" s="532">
        <f t="shared" si="61"/>
        <v>4630.9736138317676</v>
      </c>
      <c r="BW39" s="748">
        <f>P548</f>
        <v>4974.2553680659221</v>
      </c>
      <c r="BY39" s="1726" t="str">
        <f t="shared" si="59"/>
        <v>International sea</v>
      </c>
      <c r="BZ39" s="829">
        <f t="shared" si="60"/>
        <v>3.2405314285714284</v>
      </c>
      <c r="CA39" s="829">
        <f t="shared" si="58"/>
        <v>3.7767243086831508</v>
      </c>
      <c r="CB39" s="829">
        <f t="shared" si="58"/>
        <v>4.2876918595976123</v>
      </c>
      <c r="CC39" s="829">
        <f t="shared" si="58"/>
        <v>4.6309736138317676</v>
      </c>
      <c r="CD39" s="1725">
        <f t="shared" si="58"/>
        <v>4.9742553680659221</v>
      </c>
      <c r="CE39" s="405"/>
    </row>
    <row r="40" spans="3:83" ht="15.75" customHeight="1" thickBot="1" x14ac:dyDescent="0.3">
      <c r="C40" s="563"/>
      <c r="D40" s="861"/>
      <c r="E40" s="550"/>
      <c r="F40" s="384"/>
      <c r="G40" s="404"/>
      <c r="H40" s="830"/>
      <c r="I40" s="705"/>
      <c r="J40" s="390"/>
      <c r="K40" s="408"/>
      <c r="L40" s="408"/>
      <c r="M40" s="695"/>
      <c r="N40" s="550"/>
      <c r="O40" s="380"/>
      <c r="P40" s="538"/>
      <c r="Q40" s="473"/>
      <c r="R40" s="538"/>
      <c r="S40" s="661"/>
      <c r="T40" s="527"/>
      <c r="U40" s="391" t="s">
        <v>93</v>
      </c>
      <c r="V40" s="412">
        <f>1-SUM(V31:V39)</f>
        <v>1</v>
      </c>
      <c r="W40" s="705">
        <f>AB40*74</f>
        <v>1075.819667077704</v>
      </c>
      <c r="X40" s="406"/>
      <c r="Y40" s="406"/>
      <c r="Z40" s="406"/>
      <c r="AA40" s="406"/>
      <c r="AB40" s="406">
        <f>((I31*L31)+(I36*L36))/SUM(I31+I36)</f>
        <v>14.538103609158163</v>
      </c>
      <c r="AC40" s="406">
        <f t="shared" si="51"/>
        <v>0.98409718798460322</v>
      </c>
      <c r="AD40" s="747">
        <f t="shared" si="52"/>
        <v>8960.204896599811</v>
      </c>
      <c r="AE40" s="734"/>
      <c r="AF40" s="729">
        <f>+AD40*Q31</f>
        <v>8915.4038721168126</v>
      </c>
      <c r="AG40" s="730"/>
      <c r="AH40" s="730"/>
      <c r="AI40" s="893"/>
      <c r="AJ40" s="735"/>
      <c r="AK40" s="1595">
        <f>AD40*Q32</f>
        <v>44.801024482999054</v>
      </c>
      <c r="AL40" s="735"/>
      <c r="AM40" s="735"/>
      <c r="AN40" s="730"/>
      <c r="AO40" s="730"/>
      <c r="AP40" s="730"/>
      <c r="AQ40" s="731"/>
      <c r="AR40" s="648">
        <f>T30-SUM(V31:V39)*T30</f>
        <v>14509</v>
      </c>
      <c r="AT40" s="896"/>
      <c r="AU40" s="896"/>
      <c r="AV40" s="896"/>
      <c r="AW40" s="896"/>
      <c r="AX40" s="896"/>
      <c r="AY40" s="896"/>
      <c r="AZ40" s="903"/>
      <c r="BA40" s="903"/>
      <c r="BB40" s="903"/>
      <c r="BC40" s="903"/>
      <c r="BD40" s="1695" t="str">
        <f>C51</f>
        <v>Sea</v>
      </c>
      <c r="BE40" s="1696">
        <f>M51</f>
        <v>2716.4040100250631</v>
      </c>
      <c r="BF40" s="1697">
        <f>M191</f>
        <v>2758.3459480918591</v>
      </c>
      <c r="BG40" s="1698">
        <f>M331</f>
        <v>2728.4270230046309</v>
      </c>
      <c r="BH40" s="1697">
        <f t="shared" si="16"/>
        <v>2741.6384342773208</v>
      </c>
      <c r="BI40" s="1699">
        <f>M471</f>
        <v>2754.8498455500103</v>
      </c>
      <c r="BJ40" s="903"/>
      <c r="BK40" s="1695" t="str">
        <f t="shared" si="18"/>
        <v>Sea</v>
      </c>
      <c r="BL40" s="1700">
        <f t="shared" si="43"/>
        <v>2.9376057208014088</v>
      </c>
      <c r="BM40" s="1701">
        <f t="shared" si="44"/>
        <v>2.7273207324159974</v>
      </c>
      <c r="BN40" s="1702">
        <f t="shared" si="45"/>
        <v>2.4665399831969115</v>
      </c>
      <c r="BO40" s="1701">
        <f t="shared" si="19"/>
        <v>2.3715390555290692</v>
      </c>
      <c r="BP40" s="1703">
        <f t="shared" si="46"/>
        <v>2.2765381278612269</v>
      </c>
      <c r="BQ40" s="903"/>
      <c r="BR40" s="1719" t="str">
        <f>$C$133</f>
        <v>Other</v>
      </c>
      <c r="BS40" s="1720">
        <f>P133</f>
        <v>27795.15789473684</v>
      </c>
      <c r="BT40" s="1720">
        <f>P273</f>
        <v>25137.44257203945</v>
      </c>
      <c r="BU40" s="1720">
        <f>P413</f>
        <v>20560.088673123035</v>
      </c>
      <c r="BV40" s="1720">
        <f t="shared" si="61"/>
        <v>17157.103674565355</v>
      </c>
      <c r="BW40" s="1721">
        <f>P553</f>
        <v>13754.118676007678</v>
      </c>
      <c r="BY40" s="1719" t="str">
        <f t="shared" si="59"/>
        <v>Other</v>
      </c>
      <c r="BZ40" s="1720">
        <f t="shared" si="60"/>
        <v>27.795157894736839</v>
      </c>
      <c r="CA40" s="1720">
        <f t="shared" si="58"/>
        <v>25.137442572039451</v>
      </c>
      <c r="CB40" s="1720">
        <f t="shared" si="58"/>
        <v>20.560088673123033</v>
      </c>
      <c r="CC40" s="1720">
        <f t="shared" si="58"/>
        <v>17.157103674565356</v>
      </c>
      <c r="CD40" s="1721">
        <f t="shared" si="58"/>
        <v>13.754118676007678</v>
      </c>
      <c r="CE40" s="405"/>
    </row>
    <row r="41" spans="3:83" ht="15.75" customHeight="1" thickTop="1" thickBot="1" x14ac:dyDescent="0.3">
      <c r="C41" s="564" t="s">
        <v>9</v>
      </c>
      <c r="D41" s="693">
        <v>3248.3223933319796</v>
      </c>
      <c r="E41" s="392">
        <f>D41/$D$56</f>
        <v>3.6422092753706815E-2</v>
      </c>
      <c r="F41" s="56">
        <v>1</v>
      </c>
      <c r="G41" s="355">
        <v>1</v>
      </c>
      <c r="H41" s="826">
        <v>1</v>
      </c>
      <c r="I41" s="693">
        <f>D41/H41</f>
        <v>3248.3223933319796</v>
      </c>
      <c r="J41" s="393">
        <f>I41/$I$56</f>
        <v>8.4142796098786554E-2</v>
      </c>
      <c r="K41" s="407">
        <v>0</v>
      </c>
      <c r="L41" s="352"/>
      <c r="M41" s="693">
        <v>0</v>
      </c>
      <c r="N41" s="392">
        <f>M41/$M$56</f>
        <v>0</v>
      </c>
      <c r="O41" s="681" t="s">
        <v>60</v>
      </c>
      <c r="P41" s="759"/>
      <c r="Q41" s="801"/>
      <c r="R41" s="759">
        <f>SUM(R42)</f>
        <v>3248.3223933319796</v>
      </c>
      <c r="S41" s="797">
        <f>SUM(S42)</f>
        <v>1</v>
      </c>
      <c r="T41" s="680"/>
      <c r="U41" s="686"/>
      <c r="V41" s="410"/>
      <c r="W41" s="532"/>
      <c r="X41" s="405"/>
      <c r="Y41" s="405"/>
      <c r="Z41" s="405"/>
      <c r="AA41" s="405"/>
      <c r="AB41" s="405"/>
      <c r="AC41" s="405"/>
      <c r="AD41" s="529"/>
      <c r="AE41" s="736"/>
      <c r="AF41" s="733"/>
      <c r="AG41" s="721"/>
      <c r="AH41" s="733"/>
      <c r="AI41" s="733"/>
      <c r="AJ41" s="733"/>
      <c r="AK41" s="733"/>
      <c r="AL41" s="733"/>
      <c r="AM41" s="733"/>
      <c r="AN41" s="721"/>
      <c r="AO41" s="721"/>
      <c r="AP41" s="721"/>
      <c r="AQ41" s="723"/>
      <c r="AR41" s="649"/>
      <c r="AT41" s="896"/>
      <c r="AU41" s="896"/>
      <c r="AV41" s="896"/>
      <c r="AW41" s="896"/>
      <c r="AX41" s="896"/>
      <c r="AY41" s="896"/>
      <c r="AZ41" s="212"/>
      <c r="BD41" s="1674" t="str">
        <f t="shared" ref="BD41:BD42" si="70">C52</f>
        <v>National sea</v>
      </c>
      <c r="BE41" s="1675">
        <f t="shared" ref="BE41:BE42" si="71">M52</f>
        <v>793.18295739348378</v>
      </c>
      <c r="BF41" s="1676">
        <f t="shared" ref="BF41:BF42" si="72">M192</f>
        <v>805.42989501832142</v>
      </c>
      <c r="BG41" s="1677">
        <f t="shared" ref="BG41:BG42" si="73">M332</f>
        <v>796.69364614107769</v>
      </c>
      <c r="BH41" s="1676">
        <f t="shared" si="16"/>
        <v>800.55134412191546</v>
      </c>
      <c r="BI41" s="1678">
        <f t="shared" ref="BI41:BI42" si="74">M472</f>
        <v>804.40904210275335</v>
      </c>
      <c r="BK41" s="1674" t="str">
        <f t="shared" si="18"/>
        <v>National sea</v>
      </c>
      <c r="BL41" s="1679">
        <f t="shared" si="43"/>
        <v>4.3107769423558899</v>
      </c>
      <c r="BM41" s="1680">
        <f t="shared" si="44"/>
        <v>4.0021951361466792</v>
      </c>
      <c r="BN41" s="1681">
        <f t="shared" si="45"/>
        <v>3.6195135418184781</v>
      </c>
      <c r="BO41" s="1680">
        <f t="shared" si="19"/>
        <v>3.4801048371059782</v>
      </c>
      <c r="BP41" s="1682">
        <f t="shared" si="46"/>
        <v>3.3406961323934783</v>
      </c>
      <c r="BR41" s="1722" t="str">
        <f>$C$141</f>
        <v>Total</v>
      </c>
      <c r="BS41" s="706">
        <f>P141</f>
        <v>118931.11929600392</v>
      </c>
      <c r="BT41" s="706">
        <f>P281</f>
        <v>122163.44706476537</v>
      </c>
      <c r="BU41" s="706">
        <f>P421</f>
        <v>122198.38265709236</v>
      </c>
      <c r="BV41" s="706">
        <f t="shared" si="61"/>
        <v>122993.58719282868</v>
      </c>
      <c r="BW41" s="1723">
        <f>P561</f>
        <v>123788.79172856499</v>
      </c>
      <c r="BY41" s="1722" t="str">
        <f t="shared" si="59"/>
        <v>Total</v>
      </c>
      <c r="BZ41" s="706">
        <f t="shared" si="60"/>
        <v>118.93111929600391</v>
      </c>
      <c r="CA41" s="706">
        <f t="shared" si="58"/>
        <v>122.16344706476536</v>
      </c>
      <c r="CB41" s="706">
        <f t="shared" si="58"/>
        <v>122.19838265709235</v>
      </c>
      <c r="CC41" s="706">
        <f t="shared" si="58"/>
        <v>122.99358719282868</v>
      </c>
      <c r="CD41" s="1723">
        <f t="shared" si="58"/>
        <v>123.78879172856499</v>
      </c>
      <c r="CE41" s="405"/>
    </row>
    <row r="42" spans="3:83" ht="15.75" customHeight="1" thickBot="1" x14ac:dyDescent="0.3">
      <c r="C42" s="562" t="s">
        <v>27</v>
      </c>
      <c r="D42" s="691">
        <f>0.5568*D41</f>
        <v>1808.6659086072461</v>
      </c>
      <c r="E42" s="547">
        <f>D42/$D$56</f>
        <v>2.0279821245263955E-2</v>
      </c>
      <c r="F42" s="371">
        <v>1</v>
      </c>
      <c r="G42" s="373">
        <v>1</v>
      </c>
      <c r="H42" s="828">
        <v>1</v>
      </c>
      <c r="I42" s="691">
        <f>D42/H42</f>
        <v>1808.6659086072461</v>
      </c>
      <c r="J42" s="366">
        <f>I42/$I$56</f>
        <v>4.6850708867804354E-2</v>
      </c>
      <c r="K42" s="369">
        <v>0</v>
      </c>
      <c r="L42" s="369"/>
      <c r="M42" s="691">
        <v>0</v>
      </c>
      <c r="N42" s="547">
        <f>M42/$M$56</f>
        <v>0</v>
      </c>
      <c r="O42" s="380" t="s">
        <v>9</v>
      </c>
      <c r="P42" s="538"/>
      <c r="Q42" s="473"/>
      <c r="R42" s="538">
        <f>D41</f>
        <v>3248.3223933319796</v>
      </c>
      <c r="S42" s="661">
        <v>1</v>
      </c>
      <c r="T42" s="525"/>
      <c r="U42" s="609"/>
      <c r="V42" s="377"/>
      <c r="W42" s="691"/>
      <c r="X42" s="373"/>
      <c r="Y42" s="373"/>
      <c r="Z42" s="373"/>
      <c r="AA42" s="373"/>
      <c r="AB42" s="373"/>
      <c r="AC42" s="373"/>
      <c r="AD42" s="691"/>
      <c r="AE42" s="736"/>
      <c r="AF42" s="733"/>
      <c r="AG42" s="733"/>
      <c r="AH42" s="733"/>
      <c r="AI42" s="733"/>
      <c r="AJ42" s="733"/>
      <c r="AK42" s="733"/>
      <c r="AL42" s="733"/>
      <c r="AM42" s="733"/>
      <c r="AN42" s="721"/>
      <c r="AO42" s="721"/>
      <c r="AP42" s="721"/>
      <c r="AQ42" s="723"/>
      <c r="AR42" s="650"/>
      <c r="AT42" s="896"/>
      <c r="AU42" s="896"/>
      <c r="AV42" s="896"/>
      <c r="AW42" s="896"/>
      <c r="AX42" s="896"/>
      <c r="AY42" s="896"/>
      <c r="AZ42" s="212"/>
      <c r="BD42" s="1674" t="str">
        <f t="shared" si="70"/>
        <v>International sea</v>
      </c>
      <c r="BE42" s="1675">
        <f t="shared" si="71"/>
        <v>1923.2210526315791</v>
      </c>
      <c r="BF42" s="1676">
        <f t="shared" si="72"/>
        <v>1952.9160530735378</v>
      </c>
      <c r="BG42" s="1677">
        <f t="shared" si="73"/>
        <v>1931.7333768635531</v>
      </c>
      <c r="BH42" s="1676">
        <f t="shared" si="16"/>
        <v>1941.0870901554049</v>
      </c>
      <c r="BI42" s="1678">
        <f t="shared" si="74"/>
        <v>1950.4408034472567</v>
      </c>
      <c r="BK42" s="1727" t="str">
        <f t="shared" si="18"/>
        <v>International sea</v>
      </c>
      <c r="BL42" s="1728">
        <f t="shared" si="43"/>
        <v>2.5964912280701755</v>
      </c>
      <c r="BM42" s="1729">
        <f t="shared" si="44"/>
        <v>2.4106245122371859</v>
      </c>
      <c r="BN42" s="1730">
        <f t="shared" si="45"/>
        <v>2.1801255984441528</v>
      </c>
      <c r="BO42" s="1729">
        <f t="shared" si="19"/>
        <v>2.096156169326624</v>
      </c>
      <c r="BP42" s="1731">
        <f t="shared" si="46"/>
        <v>2.0121867402090952</v>
      </c>
      <c r="BS42" s="1732"/>
      <c r="BT42" s="1732"/>
      <c r="BU42" s="1732"/>
      <c r="BV42" s="1732"/>
      <c r="BW42" s="1732"/>
      <c r="BZ42" s="1733"/>
    </row>
    <row r="43" spans="3:83" ht="15.75" customHeight="1" thickBot="1" x14ac:dyDescent="0.3">
      <c r="C43" s="562" t="s">
        <v>28</v>
      </c>
      <c r="D43" s="691">
        <f>0.403*D41</f>
        <v>1309.0739245127879</v>
      </c>
      <c r="E43" s="547">
        <f>D43/$D$56</f>
        <v>1.4678103379743849E-2</v>
      </c>
      <c r="F43" s="371">
        <v>1</v>
      </c>
      <c r="G43" s="373">
        <v>1</v>
      </c>
      <c r="H43" s="828">
        <v>1</v>
      </c>
      <c r="I43" s="691">
        <f>D43/H43</f>
        <v>1309.0739245127879</v>
      </c>
      <c r="J43" s="366">
        <f>I43/$I$56</f>
        <v>3.3909546827810985E-2</v>
      </c>
      <c r="K43" s="369">
        <v>0</v>
      </c>
      <c r="L43" s="369"/>
      <c r="M43" s="691">
        <v>0</v>
      </c>
      <c r="N43" s="547">
        <f>M43/$M$56</f>
        <v>0</v>
      </c>
      <c r="O43" s="659"/>
      <c r="P43" s="758"/>
      <c r="Q43" s="810"/>
      <c r="R43" s="758"/>
      <c r="S43" s="796"/>
      <c r="T43" s="525"/>
      <c r="U43" s="609"/>
      <c r="V43" s="377"/>
      <c r="W43" s="691"/>
      <c r="X43" s="373"/>
      <c r="Y43" s="373"/>
      <c r="Z43" s="373"/>
      <c r="AA43" s="373"/>
      <c r="AB43" s="373"/>
      <c r="AC43" s="373"/>
      <c r="AD43" s="691"/>
      <c r="AE43" s="736"/>
      <c r="AF43" s="733"/>
      <c r="AG43" s="733"/>
      <c r="AH43" s="733"/>
      <c r="AI43" s="733"/>
      <c r="AJ43" s="733"/>
      <c r="AK43" s="733"/>
      <c r="AL43" s="733"/>
      <c r="AM43" s="733"/>
      <c r="AN43" s="721"/>
      <c r="AO43" s="721"/>
      <c r="AP43" s="721"/>
      <c r="AQ43" s="723"/>
      <c r="AR43" s="650"/>
      <c r="AT43" s="896"/>
      <c r="AU43" s="896"/>
      <c r="AV43" s="896"/>
      <c r="AW43" s="896"/>
      <c r="AX43" s="896"/>
      <c r="AY43" s="896"/>
      <c r="BD43" s="1734" t="str">
        <f>C56</f>
        <v>Total</v>
      </c>
      <c r="BE43" s="1735">
        <f>M56</f>
        <v>134081.76504361432</v>
      </c>
      <c r="BF43" s="1736">
        <f>M196</f>
        <v>144569.45532414716</v>
      </c>
      <c r="BG43" s="1737">
        <f>M336</f>
        <v>152770.20597626467</v>
      </c>
      <c r="BH43" s="1736">
        <f t="shared" si="16"/>
        <v>157454.98513662256</v>
      </c>
      <c r="BI43" s="1738">
        <f>M476</f>
        <v>162139.76429698046</v>
      </c>
      <c r="BK43" s="1739"/>
      <c r="BL43" s="1740"/>
      <c r="BM43" s="1740"/>
      <c r="BN43" s="1740"/>
      <c r="BO43" s="1740"/>
      <c r="BP43" s="1740"/>
    </row>
    <row r="44" spans="3:83" ht="15.75" customHeight="1" thickBot="1" x14ac:dyDescent="0.3">
      <c r="C44" s="562" t="s">
        <v>29</v>
      </c>
      <c r="D44" s="691">
        <f>D41*0.0323</f>
        <v>104.92081330462295</v>
      </c>
      <c r="E44" s="547">
        <f>D44/$D$56</f>
        <v>1.1764335959447304E-3</v>
      </c>
      <c r="F44" s="371">
        <v>1</v>
      </c>
      <c r="G44" s="373">
        <v>1</v>
      </c>
      <c r="H44" s="828">
        <v>1</v>
      </c>
      <c r="I44" s="691">
        <f>D44/H44</f>
        <v>104.92081330462295</v>
      </c>
      <c r="J44" s="366">
        <f>I44/$I$56</f>
        <v>2.717812313990806E-3</v>
      </c>
      <c r="K44" s="369">
        <v>0</v>
      </c>
      <c r="L44" s="369"/>
      <c r="M44" s="691">
        <v>0</v>
      </c>
      <c r="N44" s="547">
        <f>M44/$M$56</f>
        <v>0</v>
      </c>
      <c r="O44" s="380"/>
      <c r="P44" s="538"/>
      <c r="Q44" s="473"/>
      <c r="R44" s="538"/>
      <c r="S44" s="661"/>
      <c r="T44" s="525"/>
      <c r="U44" s="609"/>
      <c r="V44" s="377"/>
      <c r="W44" s="691"/>
      <c r="X44" s="373"/>
      <c r="Y44" s="373"/>
      <c r="Z44" s="373"/>
      <c r="AA44" s="373"/>
      <c r="AB44" s="373"/>
      <c r="AC44" s="373"/>
      <c r="AD44" s="691"/>
      <c r="AE44" s="736"/>
      <c r="AF44" s="733"/>
      <c r="AG44" s="733"/>
      <c r="AH44" s="733"/>
      <c r="AI44" s="733"/>
      <c r="AJ44" s="733"/>
      <c r="AK44" s="733"/>
      <c r="AL44" s="733"/>
      <c r="AM44" s="733"/>
      <c r="AN44" s="721"/>
      <c r="AO44" s="721"/>
      <c r="AP44" s="721"/>
      <c r="AQ44" s="723"/>
      <c r="AR44" s="650"/>
      <c r="AT44" s="896"/>
      <c r="AU44" s="896"/>
      <c r="AV44" s="896"/>
      <c r="AW44" s="896"/>
      <c r="AX44" s="896"/>
      <c r="AY44" s="896"/>
      <c r="BD44" s="1741"/>
      <c r="BK44" s="1741"/>
    </row>
    <row r="45" spans="3:83" ht="15.75" customHeight="1" thickBot="1" x14ac:dyDescent="0.3">
      <c r="C45" s="562" t="s">
        <v>30</v>
      </c>
      <c r="D45" s="691">
        <f>D41*0.0078</f>
        <v>25.33691466798944</v>
      </c>
      <c r="E45" s="550">
        <f>D45/$D$56</f>
        <v>2.8409232347891315E-4</v>
      </c>
      <c r="F45" s="371">
        <v>1</v>
      </c>
      <c r="G45" s="388">
        <v>1</v>
      </c>
      <c r="H45" s="825">
        <v>1</v>
      </c>
      <c r="I45" s="691">
        <f>D45/H45</f>
        <v>25.33691466798944</v>
      </c>
      <c r="J45" s="390">
        <f>I45/$I$56</f>
        <v>6.5631380957053512E-4</v>
      </c>
      <c r="K45" s="369">
        <v>0</v>
      </c>
      <c r="L45" s="369"/>
      <c r="M45" s="691">
        <v>0</v>
      </c>
      <c r="N45" s="547">
        <f>M45/$M$56</f>
        <v>0</v>
      </c>
      <c r="O45" s="459"/>
      <c r="P45" s="692"/>
      <c r="Q45" s="663"/>
      <c r="R45" s="692"/>
      <c r="S45" s="664"/>
      <c r="T45" s="525"/>
      <c r="U45" s="610"/>
      <c r="V45" s="377"/>
      <c r="W45" s="691"/>
      <c r="X45" s="373"/>
      <c r="Y45" s="373"/>
      <c r="Z45" s="373"/>
      <c r="AA45" s="373"/>
      <c r="AB45" s="373"/>
      <c r="AC45" s="373"/>
      <c r="AD45" s="691"/>
      <c r="AE45" s="737"/>
      <c r="AF45" s="735"/>
      <c r="AG45" s="735"/>
      <c r="AH45" s="735"/>
      <c r="AI45" s="735"/>
      <c r="AJ45" s="735"/>
      <c r="AK45" s="735"/>
      <c r="AL45" s="735"/>
      <c r="AM45" s="735"/>
      <c r="AN45" s="730"/>
      <c r="AO45" s="730"/>
      <c r="AP45" s="730"/>
      <c r="AQ45" s="731"/>
      <c r="AR45" s="650"/>
      <c r="AT45" s="896"/>
      <c r="AU45" s="896"/>
      <c r="AV45" s="896"/>
      <c r="AW45" s="896"/>
      <c r="AX45" s="896"/>
      <c r="AY45" s="896"/>
      <c r="BD45" s="1965" t="s">
        <v>506</v>
      </c>
      <c r="BE45" s="1966"/>
      <c r="BF45" s="1966"/>
      <c r="BG45" s="1966"/>
      <c r="BH45" s="1966"/>
      <c r="BI45" s="1967"/>
      <c r="BK45" s="1965" t="s">
        <v>507</v>
      </c>
      <c r="BL45" s="1966"/>
      <c r="BM45" s="1966"/>
      <c r="BN45" s="1966"/>
      <c r="BO45" s="1966"/>
      <c r="BP45" s="1967"/>
    </row>
    <row r="46" spans="3:83" ht="15.75" customHeight="1" thickBot="1" x14ac:dyDescent="0.3">
      <c r="C46" s="564" t="s">
        <v>107</v>
      </c>
      <c r="D46" s="698">
        <f>D48+D47</f>
        <v>16844.599999999999</v>
      </c>
      <c r="E46" s="392">
        <f>E48+E47</f>
        <v>0.18887151868253257</v>
      </c>
      <c r="F46" s="1321">
        <f>((F47*I47)+(F48*I48))/(I47+I48)</f>
        <v>176.78533007620885</v>
      </c>
      <c r="G46" s="1320">
        <f>H46/F46</f>
        <v>0.84023156688112377</v>
      </c>
      <c r="H46" s="1321">
        <f>((H47*I47)+(H48*I48))/(I47+I48)</f>
        <v>148.54061489152963</v>
      </c>
      <c r="I46" s="759">
        <f>I48+I47</f>
        <v>113.40063464999527</v>
      </c>
      <c r="J46" s="795">
        <f>J48+J47</f>
        <v>2.9374690450722023E-3</v>
      </c>
      <c r="K46" s="1324">
        <f t="shared" ref="K46:K53" si="75">L46/H46</f>
        <v>1.584435115014464</v>
      </c>
      <c r="L46" s="1319">
        <f>((L47*I47)+(L48*I48))/(I47+I48)</f>
        <v>235.35296623997996</v>
      </c>
      <c r="M46" s="693">
        <f>M48+M47</f>
        <v>26689.175738372647</v>
      </c>
      <c r="N46" s="392">
        <f>N48+N47</f>
        <v>0.19905149465843586</v>
      </c>
      <c r="O46" s="681" t="s">
        <v>60</v>
      </c>
      <c r="P46" s="759">
        <f>SUM(P47:P48)</f>
        <v>26689.175738372647</v>
      </c>
      <c r="Q46" s="801">
        <f>Q47+Q48</f>
        <v>1</v>
      </c>
      <c r="R46" s="759">
        <f>SUM(R47:R48)</f>
        <v>16844.599999999999</v>
      </c>
      <c r="S46" s="797">
        <f>SUM(S47:S48)</f>
        <v>1</v>
      </c>
      <c r="T46" s="680"/>
      <c r="U46" s="687" t="s">
        <v>56</v>
      </c>
      <c r="V46" s="418"/>
      <c r="W46" s="763"/>
      <c r="X46" s="607"/>
      <c r="Y46" s="607"/>
      <c r="Z46" s="607"/>
      <c r="AA46" s="607"/>
      <c r="AB46" s="607"/>
      <c r="AC46" s="607"/>
      <c r="AD46" s="693">
        <f>SUM(AD47:AD49)</f>
        <v>26689.175738372644</v>
      </c>
      <c r="AE46" s="736"/>
      <c r="AF46" s="733"/>
      <c r="AG46" s="733"/>
      <c r="AH46" s="733"/>
      <c r="AI46" s="733"/>
      <c r="AJ46" s="733"/>
      <c r="AK46" s="733"/>
      <c r="AL46" s="733"/>
      <c r="AM46" s="733"/>
      <c r="AN46" s="721"/>
      <c r="AO46" s="721"/>
      <c r="AP46" s="721"/>
      <c r="AQ46" s="723"/>
      <c r="AR46" s="651"/>
      <c r="AT46" s="896"/>
      <c r="AU46" s="896"/>
      <c r="AV46" s="896"/>
      <c r="AW46" s="896"/>
      <c r="AX46" s="896"/>
      <c r="AY46" s="896"/>
      <c r="BD46" s="1650" t="s">
        <v>454</v>
      </c>
      <c r="BE46" s="1651">
        <v>2010</v>
      </c>
      <c r="BF46" s="1652">
        <v>2020</v>
      </c>
      <c r="BG46" s="1653">
        <v>2030</v>
      </c>
      <c r="BH46" s="1652">
        <v>2040</v>
      </c>
      <c r="BI46" s="1654">
        <v>2050</v>
      </c>
      <c r="BK46" s="1650" t="s">
        <v>454</v>
      </c>
      <c r="BL46" s="1651">
        <v>2010</v>
      </c>
      <c r="BM46" s="1652">
        <v>2020</v>
      </c>
      <c r="BN46" s="1653">
        <v>2030</v>
      </c>
      <c r="BO46" s="1652">
        <v>2040</v>
      </c>
      <c r="BP46" s="1654">
        <v>2050</v>
      </c>
    </row>
    <row r="47" spans="3:83" ht="15.75" customHeight="1" thickBot="1" x14ac:dyDescent="0.3">
      <c r="C47" s="561" t="s">
        <v>10</v>
      </c>
      <c r="D47" s="538">
        <v>470</v>
      </c>
      <c r="E47" s="448">
        <f>D47/$D$56</f>
        <v>5.2699152120436405E-3</v>
      </c>
      <c r="F47" s="55">
        <v>90</v>
      </c>
      <c r="G47" s="420">
        <v>0.6</v>
      </c>
      <c r="H47" s="821">
        <f>G47*F47</f>
        <v>54</v>
      </c>
      <c r="I47" s="694">
        <f>D47/H47</f>
        <v>8.7037037037037042</v>
      </c>
      <c r="J47" s="366">
        <f>I47/I56</f>
        <v>2.2545605927180742E-4</v>
      </c>
      <c r="K47" s="363">
        <f t="shared" si="75"/>
        <v>3.4479629629629631</v>
      </c>
      <c r="L47" s="419">
        <v>186.19</v>
      </c>
      <c r="M47" s="538">
        <f>D47*K47</f>
        <v>1620.5425925925927</v>
      </c>
      <c r="N47" s="546">
        <f>M47/$M$56</f>
        <v>1.2086226580217378E-2</v>
      </c>
      <c r="O47" s="557" t="s">
        <v>4</v>
      </c>
      <c r="P47" s="538">
        <f>Q47*SUM(M47+M48)</f>
        <v>26622.452799026716</v>
      </c>
      <c r="Q47" s="473">
        <v>0.99750000000000005</v>
      </c>
      <c r="R47" s="538">
        <f>S47*SUM(D47:D48)</f>
        <v>16802.488499999999</v>
      </c>
      <c r="S47" s="661">
        <f>Q47</f>
        <v>0.99750000000000005</v>
      </c>
      <c r="T47" s="525"/>
      <c r="U47" s="391" t="s">
        <v>429</v>
      </c>
      <c r="V47" s="294">
        <v>0</v>
      </c>
      <c r="W47" s="532"/>
      <c r="X47" s="611"/>
      <c r="Y47" s="611"/>
      <c r="Z47" s="421"/>
      <c r="AA47" s="421">
        <f>1/AB47</f>
        <v>4.24893731307529E-3</v>
      </c>
      <c r="AB47" s="416">
        <f>AB48</f>
        <v>235.35296623997996</v>
      </c>
      <c r="AC47" s="411">
        <f>AC48</f>
        <v>1.5844351150144642</v>
      </c>
      <c r="AD47" s="532">
        <f>(AC47*V47*$D$48)+(AC47*V47*$D$47)</f>
        <v>0</v>
      </c>
      <c r="AE47" s="720"/>
      <c r="AF47" s="733"/>
      <c r="AG47" s="733"/>
      <c r="AH47" s="733"/>
      <c r="AI47" s="733"/>
      <c r="AJ47" s="733"/>
      <c r="AK47" s="733"/>
      <c r="AL47" s="733"/>
      <c r="AM47" s="722">
        <f>AD47</f>
        <v>0</v>
      </c>
      <c r="AN47" s="721"/>
      <c r="AO47" s="721"/>
      <c r="AP47" s="721"/>
      <c r="AQ47" s="723"/>
      <c r="AR47" s="649"/>
      <c r="BD47" s="1742" t="str">
        <f>C61</f>
        <v>National truck</v>
      </c>
      <c r="BE47" s="1743">
        <f>M61</f>
        <v>23967.446411321231</v>
      </c>
      <c r="BF47" s="1744">
        <f>M201</f>
        <v>25954.410377540895</v>
      </c>
      <c r="BG47" s="1745">
        <f>M341</f>
        <v>27470.25535625367</v>
      </c>
      <c r="BH47" s="1744">
        <f t="shared" ref="BH47:BH67" si="76">AVERAGE(BG47,BI47)</f>
        <v>28636.419959920684</v>
      </c>
      <c r="BI47" s="1746">
        <f>M481</f>
        <v>29802.584563587698</v>
      </c>
      <c r="BK47" s="1742" t="str">
        <f t="shared" ref="BK47:BK65" si="77">BD47</f>
        <v>National truck</v>
      </c>
      <c r="BL47" s="1747">
        <f>K61</f>
        <v>2.3961024595554452</v>
      </c>
      <c r="BM47" s="1748">
        <f>K201</f>
        <v>2.0868960599723509</v>
      </c>
      <c r="BN47" s="1749">
        <f>K341</f>
        <v>1.7769751261763247</v>
      </c>
      <c r="BO47" s="1748">
        <f t="shared" ref="BO47:BO65" si="78">AVERAGE(BN47,BP47)</f>
        <v>1.6628215824556882</v>
      </c>
      <c r="BP47" s="1750">
        <f>K481</f>
        <v>1.5486680387350515</v>
      </c>
    </row>
    <row r="48" spans="3:83" ht="15.75" customHeight="1" thickBot="1" x14ac:dyDescent="0.3">
      <c r="C48" s="561" t="s">
        <v>11</v>
      </c>
      <c r="D48" s="538">
        <v>16374.6</v>
      </c>
      <c r="E48" s="448">
        <f>D48/$D$56</f>
        <v>0.18360160347048893</v>
      </c>
      <c r="F48" s="55">
        <v>184</v>
      </c>
      <c r="G48" s="58">
        <f>((G49*$D$49)+(G50*$D$50))/($D$49+$D$50)</f>
        <v>0.85</v>
      </c>
      <c r="H48" s="1323">
        <f>((H49*I49)+(H50*I50))/(I49+I50)</f>
        <v>156.4</v>
      </c>
      <c r="I48" s="538">
        <f>D48/H48</f>
        <v>104.69693094629156</v>
      </c>
      <c r="J48" s="661">
        <f>I48/I56</f>
        <v>2.7120129858003951E-3</v>
      </c>
      <c r="K48" s="363">
        <f t="shared" si="75"/>
        <v>1.530946291560102</v>
      </c>
      <c r="L48" s="364">
        <f>((I49*L49)+(I50*L50))/SUM(I49:I50)</f>
        <v>239.43999999999997</v>
      </c>
      <c r="M48" s="538">
        <f>SUM(M49:M50)</f>
        <v>25068.633145780055</v>
      </c>
      <c r="N48" s="546">
        <f>M48/$M$56</f>
        <v>0.18696526807821848</v>
      </c>
      <c r="O48" s="557" t="s">
        <v>44</v>
      </c>
      <c r="P48" s="538">
        <f>Q48*SUM(M47+M48)</f>
        <v>66.722939345931621</v>
      </c>
      <c r="Q48" s="473">
        <v>2.5000000000000001E-3</v>
      </c>
      <c r="R48" s="538">
        <f>S48*SUM(D47:D48)</f>
        <v>42.111499999999999</v>
      </c>
      <c r="S48" s="661">
        <f>Q48</f>
        <v>2.5000000000000001E-3</v>
      </c>
      <c r="T48" s="525"/>
      <c r="U48" s="391" t="s">
        <v>406</v>
      </c>
      <c r="V48" s="295">
        <v>0</v>
      </c>
      <c r="W48" s="532"/>
      <c r="X48" s="612"/>
      <c r="Y48" s="612"/>
      <c r="Z48" s="421"/>
      <c r="AA48" s="421">
        <f>1/AB48</f>
        <v>4.24893731307529E-3</v>
      </c>
      <c r="AB48" s="416">
        <f>AB49</f>
        <v>235.35296623997996</v>
      </c>
      <c r="AC48" s="411">
        <f>AC49</f>
        <v>1.5844351150144642</v>
      </c>
      <c r="AD48" s="532">
        <f>(AC48*V48*$D$48)+(AC48*V48*$D$47)</f>
        <v>0</v>
      </c>
      <c r="AE48" s="736"/>
      <c r="AF48" s="733"/>
      <c r="AG48" s="733"/>
      <c r="AH48" s="733"/>
      <c r="AI48" s="733"/>
      <c r="AJ48" s="733"/>
      <c r="AK48" s="733"/>
      <c r="AL48" s="733"/>
      <c r="AM48" s="733"/>
      <c r="AN48" s="721"/>
      <c r="AO48" s="721"/>
      <c r="AP48" s="721"/>
      <c r="AQ48" s="724">
        <f>AD48</f>
        <v>0</v>
      </c>
      <c r="AR48" s="649"/>
      <c r="BD48" s="1674" t="str">
        <f t="shared" ref="BD48:BD50" si="79">C62</f>
        <v>&lt;50km</v>
      </c>
      <c r="BE48" s="1675">
        <f t="shared" ref="BE48:BE50" si="80">M62</f>
        <v>8124.7495327659572</v>
      </c>
      <c r="BF48" s="1676">
        <f t="shared" ref="BF48:BF50" si="81">M202</f>
        <v>8332.3293525482914</v>
      </c>
      <c r="BG48" s="1677">
        <f t="shared" ref="BG48:BG50" si="82">M342</f>
        <v>8324.0007717442459</v>
      </c>
      <c r="BH48" s="1676">
        <f t="shared" si="76"/>
        <v>8406.3399288029377</v>
      </c>
      <c r="BI48" s="1678">
        <f t="shared" ref="BI48:BI50" si="83">M482</f>
        <v>8488.6790858616296</v>
      </c>
      <c r="BK48" s="1674" t="str">
        <f t="shared" si="77"/>
        <v>&lt;50km</v>
      </c>
      <c r="BL48" s="1679">
        <f>K62</f>
        <v>6.7021276595744679</v>
      </c>
      <c r="BM48" s="1680">
        <f>K202</f>
        <v>6.2223638753908395</v>
      </c>
      <c r="BN48" s="1681">
        <f>K342</f>
        <v>5.6273943530857915</v>
      </c>
      <c r="BO48" s="1680">
        <f t="shared" si="78"/>
        <v>5.41065037669056</v>
      </c>
      <c r="BP48" s="1682">
        <f>K482</f>
        <v>5.1939064002953286</v>
      </c>
    </row>
    <row r="49" spans="2:125" ht="15.75" customHeight="1" x14ac:dyDescent="0.25">
      <c r="C49" s="562" t="s">
        <v>37</v>
      </c>
      <c r="D49" s="691">
        <f>0.25*D48</f>
        <v>4093.65</v>
      </c>
      <c r="E49" s="547">
        <f>D49/$D$56</f>
        <v>4.5900400867622232E-2</v>
      </c>
      <c r="F49" s="371">
        <v>184</v>
      </c>
      <c r="G49" s="399">
        <v>0.85</v>
      </c>
      <c r="H49" s="828">
        <f>G49*F49</f>
        <v>156.4</v>
      </c>
      <c r="I49" s="691">
        <f>D49/H49</f>
        <v>26.17423273657289</v>
      </c>
      <c r="J49" s="374">
        <f>I49/I56</f>
        <v>6.7800324645009877E-4</v>
      </c>
      <c r="K49" s="369">
        <f t="shared" si="75"/>
        <v>1.8842710997442453</v>
      </c>
      <c r="L49" s="398">
        <v>294.7</v>
      </c>
      <c r="M49" s="691">
        <f>D49*K49</f>
        <v>7713.5463874680299</v>
      </c>
      <c r="N49" s="547">
        <f>M49/$M$56</f>
        <v>5.7528675767051216E-2</v>
      </c>
      <c r="O49" s="659"/>
      <c r="P49" s="758"/>
      <c r="Q49" s="810"/>
      <c r="R49" s="758"/>
      <c r="S49" s="796"/>
      <c r="T49" s="525"/>
      <c r="U49" s="391" t="s">
        <v>290</v>
      </c>
      <c r="V49" s="887">
        <f>1-SUM(V47:V48)</f>
        <v>1</v>
      </c>
      <c r="W49" s="694">
        <f>AB49*72</f>
        <v>16945.413569278557</v>
      </c>
      <c r="X49" s="61"/>
      <c r="Y49" s="362"/>
      <c r="Z49" s="61"/>
      <c r="AA49" s="382">
        <f>1/AB49</f>
        <v>4.24893731307529E-3</v>
      </c>
      <c r="AB49" s="55">
        <f>((I47*L47)+(I48*L48))/SUM(I47:I48)</f>
        <v>235.35296623997996</v>
      </c>
      <c r="AC49" s="411">
        <f>((K47*D47)+(K48*D48))/SUM(D47:D48)</f>
        <v>1.5844351150144642</v>
      </c>
      <c r="AD49" s="532">
        <f>(AC49*V49*D48)+(AC49*V49*D47)</f>
        <v>26689.175738372644</v>
      </c>
      <c r="AE49" s="720"/>
      <c r="AF49" s="733"/>
      <c r="AG49" s="722">
        <f>+AD49</f>
        <v>26689.175738372644</v>
      </c>
      <c r="AH49" s="733"/>
      <c r="AI49" s="733"/>
      <c r="AJ49" s="721"/>
      <c r="AK49" s="721"/>
      <c r="AL49" s="721"/>
      <c r="AM49" s="721"/>
      <c r="AN49" s="721"/>
      <c r="AO49" s="721"/>
      <c r="AP49" s="721"/>
      <c r="AQ49" s="723"/>
      <c r="AR49" s="647"/>
      <c r="AY49" s="8"/>
      <c r="BD49" s="1674" t="str">
        <f t="shared" si="79"/>
        <v>50-200km</v>
      </c>
      <c r="BE49" s="1675">
        <f t="shared" si="80"/>
        <v>11308.667105054119</v>
      </c>
      <c r="BF49" s="1676">
        <f t="shared" si="81"/>
        <v>11597.593067655007</v>
      </c>
      <c r="BG49" s="1677">
        <f t="shared" si="82"/>
        <v>11586.000692112764</v>
      </c>
      <c r="BH49" s="1676">
        <f t="shared" si="76"/>
        <v>11700.606824047332</v>
      </c>
      <c r="BI49" s="1678">
        <f t="shared" si="83"/>
        <v>11815.212955981902</v>
      </c>
      <c r="BK49" s="1674" t="str">
        <f t="shared" si="77"/>
        <v>50-200km</v>
      </c>
      <c r="BL49" s="1679">
        <f>K63</f>
        <v>2.4903529411764707</v>
      </c>
      <c r="BM49" s="1680">
        <f>K203</f>
        <v>2.3120840075334614</v>
      </c>
      <c r="BN49" s="1681">
        <f>K343</f>
        <v>2.0910073323277838</v>
      </c>
      <c r="BO49" s="1680">
        <f t="shared" si="78"/>
        <v>2.0104703705575839</v>
      </c>
      <c r="BP49" s="1682">
        <f>K483</f>
        <v>1.9299334087873841</v>
      </c>
    </row>
    <row r="50" spans="2:125" ht="15.75" customHeight="1" thickBot="1" x14ac:dyDescent="0.3">
      <c r="C50" s="562" t="s">
        <v>38</v>
      </c>
      <c r="D50" s="691">
        <f>0.75*D48</f>
        <v>12280.95</v>
      </c>
      <c r="E50" s="550">
        <f>D50/$D$56</f>
        <v>0.1377012026028667</v>
      </c>
      <c r="F50" s="371">
        <v>184</v>
      </c>
      <c r="G50" s="424">
        <v>0.85</v>
      </c>
      <c r="H50" s="828">
        <f>G50*F50</f>
        <v>156.4</v>
      </c>
      <c r="I50" s="691">
        <f>D50/H50</f>
        <v>78.522698209718669</v>
      </c>
      <c r="J50" s="374">
        <f>I50/I56</f>
        <v>2.0340097393502961E-3</v>
      </c>
      <c r="K50" s="369">
        <f t="shared" si="75"/>
        <v>1.4131713554987213</v>
      </c>
      <c r="L50" s="423">
        <v>221.02</v>
      </c>
      <c r="M50" s="691">
        <f>D50*K50</f>
        <v>17355.086758312023</v>
      </c>
      <c r="N50" s="547">
        <f>M50/$M$56</f>
        <v>0.12943659231116725</v>
      </c>
      <c r="O50" s="659"/>
      <c r="P50" s="758"/>
      <c r="Q50" s="810"/>
      <c r="R50" s="758"/>
      <c r="S50" s="796"/>
      <c r="T50" s="527"/>
      <c r="U50" s="609"/>
      <c r="V50" s="412"/>
      <c r="W50" s="705"/>
      <c r="X50" s="406"/>
      <c r="Y50" s="406"/>
      <c r="Z50" s="406"/>
      <c r="AA50" s="406"/>
      <c r="AB50" s="406"/>
      <c r="AC50" s="406"/>
      <c r="AD50" s="705"/>
      <c r="AE50" s="734"/>
      <c r="AF50" s="735"/>
      <c r="AG50" s="735"/>
      <c r="AH50" s="735"/>
      <c r="AI50" s="735"/>
      <c r="AJ50" s="730"/>
      <c r="AK50" s="730"/>
      <c r="AL50" s="730"/>
      <c r="AM50" s="730"/>
      <c r="AN50" s="730"/>
      <c r="AO50" s="730"/>
      <c r="AP50" s="730"/>
      <c r="AQ50" s="731"/>
      <c r="AR50" s="652"/>
      <c r="AY50" s="8"/>
      <c r="BD50" s="1674" t="str">
        <f t="shared" si="79"/>
        <v>&gt;200km</v>
      </c>
      <c r="BE50" s="1675">
        <f t="shared" si="80"/>
        <v>4534.0297735011545</v>
      </c>
      <c r="BF50" s="1676">
        <f t="shared" si="81"/>
        <v>6024.4879573375965</v>
      </c>
      <c r="BG50" s="1677">
        <f t="shared" si="82"/>
        <v>7560.2538923966586</v>
      </c>
      <c r="BH50" s="1676">
        <f t="shared" si="76"/>
        <v>8529.4732070704122</v>
      </c>
      <c r="BI50" s="1678">
        <f t="shared" si="83"/>
        <v>9498.6925217441676</v>
      </c>
      <c r="BK50" s="1674" t="str">
        <f t="shared" si="77"/>
        <v>&gt;200km</v>
      </c>
      <c r="BL50" s="1679">
        <f>K64</f>
        <v>1.0669745958429562</v>
      </c>
      <c r="BM50" s="1680">
        <f>K204</f>
        <v>0.99059649686745599</v>
      </c>
      <c r="BN50" s="1681">
        <f>K344</f>
        <v>0.8958777153334424</v>
      </c>
      <c r="BO50" s="1680">
        <f t="shared" si="78"/>
        <v>0.86137220777490975</v>
      </c>
      <c r="BP50" s="1682">
        <f>K484</f>
        <v>0.82686670021637709</v>
      </c>
    </row>
    <row r="51" spans="2:125" ht="15.75" customHeight="1" thickBot="1" x14ac:dyDescent="0.3">
      <c r="C51" s="564" t="s">
        <v>77</v>
      </c>
      <c r="D51" s="698">
        <f>D53+D52</f>
        <v>924.7</v>
      </c>
      <c r="E51" s="392">
        <f>E52+E53</f>
        <v>1.0368277865056924E-2</v>
      </c>
      <c r="F51" s="1319">
        <f>((F52*I52)+(F53*I53))/(I52+I53)</f>
        <v>1214.183224504666</v>
      </c>
      <c r="G51" s="1320">
        <f>H51/F51</f>
        <v>0.42579265886067624</v>
      </c>
      <c r="H51" s="1321">
        <f>((H52*I52)+(H53*I53))/(I52+I53)</f>
        <v>516.99030350587111</v>
      </c>
      <c r="I51" s="759">
        <f>I53+I52</f>
        <v>1.7886215538847119</v>
      </c>
      <c r="J51" s="797">
        <f>J53+J52</f>
        <v>4.6331490684346908E-5</v>
      </c>
      <c r="K51" s="1324">
        <f t="shared" si="75"/>
        <v>2.9376057208014088</v>
      </c>
      <c r="L51" s="1319">
        <f>((L52*I52)+(L53*I53))/(I52+I53)</f>
        <v>1518.7136731777036</v>
      </c>
      <c r="M51" s="693">
        <f>M53+M52</f>
        <v>2716.4040100250631</v>
      </c>
      <c r="N51" s="392">
        <f>N53+N52</f>
        <v>2.0259309751340659E-2</v>
      </c>
      <c r="O51" s="681" t="s">
        <v>60</v>
      </c>
      <c r="P51" s="759">
        <f>SUM(P52)</f>
        <v>2716.4040100250631</v>
      </c>
      <c r="Q51" s="801">
        <f>SUM(Q52)</f>
        <v>1</v>
      </c>
      <c r="R51" s="759">
        <f>SUM(R52)</f>
        <v>924.7</v>
      </c>
      <c r="S51" s="797">
        <f>SUM(S52)</f>
        <v>1</v>
      </c>
      <c r="T51" s="680"/>
      <c r="U51" s="687" t="s">
        <v>56</v>
      </c>
      <c r="V51" s="396"/>
      <c r="W51" s="707"/>
      <c r="X51" s="394"/>
      <c r="Y51" s="605"/>
      <c r="Z51" s="394"/>
      <c r="AA51" s="394"/>
      <c r="AB51" s="394"/>
      <c r="AC51" s="394"/>
      <c r="AD51" s="1573">
        <f>SUM(AD52:AD55)</f>
        <v>2716.4040100250631</v>
      </c>
      <c r="AE51" s="725"/>
      <c r="AF51" s="733"/>
      <c r="AG51" s="733"/>
      <c r="AH51" s="733"/>
      <c r="AI51" s="733"/>
      <c r="AJ51" s="733"/>
      <c r="AK51" s="733"/>
      <c r="AL51" s="733"/>
      <c r="AM51" s="733"/>
      <c r="AN51" s="721"/>
      <c r="AO51" s="721"/>
      <c r="AP51" s="721"/>
      <c r="AQ51" s="723"/>
      <c r="AR51" s="653"/>
      <c r="AY51" s="8"/>
      <c r="BD51" s="1695" t="str">
        <f>C73</f>
        <v>International truck</v>
      </c>
      <c r="BE51" s="1696">
        <f>M73</f>
        <v>16357.653895896949</v>
      </c>
      <c r="BF51" s="1697">
        <f>M213</f>
        <v>15756.227355682666</v>
      </c>
      <c r="BG51" s="1698">
        <f>M353</f>
        <v>14896.967814403675</v>
      </c>
      <c r="BH51" s="1697">
        <f t="shared" si="76"/>
        <v>14682.797727359479</v>
      </c>
      <c r="BI51" s="1699">
        <f>M493</f>
        <v>14468.627640315282</v>
      </c>
      <c r="BK51" s="1695" t="str">
        <f t="shared" si="77"/>
        <v>International truck</v>
      </c>
      <c r="BL51" s="1700">
        <f>K73</f>
        <v>1.6780196872349427</v>
      </c>
      <c r="BM51" s="1701">
        <f>K213</f>
        <v>1.458742324019674</v>
      </c>
      <c r="BN51" s="1702">
        <f>K353</f>
        <v>1.2286467178448546</v>
      </c>
      <c r="BO51" s="1701">
        <f t="shared" si="78"/>
        <v>1.1416889259130238</v>
      </c>
      <c r="BP51" s="1703">
        <f>K493</f>
        <v>1.0547311339811933</v>
      </c>
    </row>
    <row r="52" spans="2:125" ht="15.75" customHeight="1" thickBot="1" x14ac:dyDescent="0.3">
      <c r="C52" s="561" t="s">
        <v>12</v>
      </c>
      <c r="D52" s="538">
        <v>184</v>
      </c>
      <c r="E52" s="448">
        <f>D52/$D$56</f>
        <v>2.0631157425872976E-3</v>
      </c>
      <c r="F52" s="364">
        <v>570</v>
      </c>
      <c r="G52" s="425">
        <v>0.35</v>
      </c>
      <c r="H52" s="821">
        <f>G52*F52</f>
        <v>199.5</v>
      </c>
      <c r="I52" s="694">
        <f>D52/H52</f>
        <v>0.92230576441102752</v>
      </c>
      <c r="J52" s="366">
        <f>I52/I56</f>
        <v>2.3890912439872854E-5</v>
      </c>
      <c r="K52" s="363">
        <f t="shared" si="75"/>
        <v>4.3107769423558899</v>
      </c>
      <c r="L52" s="1326">
        <v>860</v>
      </c>
      <c r="M52" s="538">
        <f>K52*D52</f>
        <v>793.18295739348378</v>
      </c>
      <c r="N52" s="546">
        <f>M52/$M$56</f>
        <v>5.9156661395043247E-3</v>
      </c>
      <c r="O52" s="557" t="s">
        <v>3</v>
      </c>
      <c r="P52" s="538">
        <f>SUM(M52:M55)</f>
        <v>2716.4040100250631</v>
      </c>
      <c r="Q52" s="473">
        <f>P52/P52</f>
        <v>1</v>
      </c>
      <c r="R52" s="538">
        <f>SUM(D52:D55)</f>
        <v>924.7</v>
      </c>
      <c r="S52" s="661">
        <v>1</v>
      </c>
      <c r="T52" s="525"/>
      <c r="U52" s="391" t="s">
        <v>421</v>
      </c>
      <c r="V52" s="294">
        <v>0</v>
      </c>
      <c r="W52" s="532"/>
      <c r="X52" s="611"/>
      <c r="Y52" s="611"/>
      <c r="Z52" s="421"/>
      <c r="AA52" s="421"/>
      <c r="AB52" s="416">
        <f t="shared" ref="AB52:AC54" si="84">AB53</f>
        <v>1518.7136731777036</v>
      </c>
      <c r="AC52" s="411">
        <f t="shared" si="84"/>
        <v>2.9376057208014092</v>
      </c>
      <c r="AD52" s="532">
        <f>(V52*AC52*D51)</f>
        <v>0</v>
      </c>
      <c r="AE52" s="720"/>
      <c r="AF52" s="733"/>
      <c r="AG52" s="733"/>
      <c r="AI52" s="738">
        <f>AD52</f>
        <v>0</v>
      </c>
      <c r="AJ52" s="733"/>
      <c r="AK52" s="733"/>
      <c r="AL52" s="733"/>
      <c r="AM52" s="733"/>
      <c r="AN52" s="721"/>
      <c r="AO52" s="721"/>
      <c r="AP52" s="721"/>
      <c r="AQ52" s="723"/>
      <c r="AR52" s="649"/>
      <c r="AY52" s="83"/>
      <c r="BD52" s="1674" t="str">
        <f t="shared" ref="BD52:BD54" si="85">C74</f>
        <v>&lt;250km</v>
      </c>
      <c r="BE52" s="1675">
        <f t="shared" ref="BE52:BE54" si="86">M74</f>
        <v>2963.053742436548</v>
      </c>
      <c r="BF52" s="1676">
        <f t="shared" ref="BF52:BF54" si="87">M214</f>
        <v>2750.947087890806</v>
      </c>
      <c r="BG52" s="1677">
        <f t="shared" ref="BG52:BG54" si="88">M354</f>
        <v>2487.9072355861149</v>
      </c>
      <c r="BH52" s="1676">
        <f t="shared" si="76"/>
        <v>2392.0833296521523</v>
      </c>
      <c r="BI52" s="1678">
        <f t="shared" ref="BI52:BI54" si="89">M494</f>
        <v>2296.2594237181902</v>
      </c>
      <c r="BK52" s="1674" t="str">
        <f t="shared" si="77"/>
        <v>&lt;250km</v>
      </c>
      <c r="BL52" s="1679">
        <f>K74</f>
        <v>6.0913705583756341</v>
      </c>
      <c r="BM52" s="1680">
        <f>K214</f>
        <v>5.6553270900337322</v>
      </c>
      <c r="BN52" s="1681">
        <f>K354</f>
        <v>5.1145764485382106</v>
      </c>
      <c r="BO52" s="1680">
        <f t="shared" si="78"/>
        <v>4.9175840987083648</v>
      </c>
      <c r="BP52" s="1682">
        <f>K494</f>
        <v>4.720591748878519</v>
      </c>
      <c r="BR52" s="956"/>
      <c r="BS52" s="956"/>
      <c r="BT52" s="956"/>
      <c r="BU52" s="956"/>
      <c r="BV52" s="956"/>
      <c r="BW52" s="956"/>
      <c r="BZ52" s="956"/>
    </row>
    <row r="53" spans="2:125" ht="15.75" customHeight="1" thickBot="1" x14ac:dyDescent="0.3">
      <c r="C53" s="561" t="s">
        <v>13</v>
      </c>
      <c r="D53" s="538">
        <f>1481.4/2</f>
        <v>740.7</v>
      </c>
      <c r="E53" s="549">
        <f>D53/$D$56</f>
        <v>8.3051621224696261E-3</v>
      </c>
      <c r="F53" s="364">
        <v>1900</v>
      </c>
      <c r="G53" s="426">
        <v>0.45</v>
      </c>
      <c r="H53" s="821">
        <f>G53*F53</f>
        <v>855</v>
      </c>
      <c r="I53" s="694">
        <f>D53/H53</f>
        <v>0.86631578947368426</v>
      </c>
      <c r="J53" s="366">
        <f>I53/I56</f>
        <v>2.2440578244474054E-5</v>
      </c>
      <c r="K53" s="369">
        <f t="shared" si="75"/>
        <v>2.5964912280701755</v>
      </c>
      <c r="L53" s="402">
        <v>2220</v>
      </c>
      <c r="M53" s="694">
        <f>K53*D53</f>
        <v>1923.2210526315791</v>
      </c>
      <c r="N53" s="546">
        <f>M53/$M$56</f>
        <v>1.4343643611836336E-2</v>
      </c>
      <c r="O53" s="659"/>
      <c r="P53" s="758"/>
      <c r="Q53" s="810"/>
      <c r="R53" s="758"/>
      <c r="S53" s="796"/>
      <c r="T53" s="525"/>
      <c r="U53" s="391" t="s">
        <v>291</v>
      </c>
      <c r="V53" s="375">
        <v>0</v>
      </c>
      <c r="W53" s="532"/>
      <c r="X53" s="612"/>
      <c r="Y53" s="612"/>
      <c r="Z53" s="421"/>
      <c r="AA53" s="421"/>
      <c r="AB53" s="416">
        <f t="shared" si="84"/>
        <v>1518.7136731777036</v>
      </c>
      <c r="AC53" s="411">
        <f t="shared" si="84"/>
        <v>2.9376057208014092</v>
      </c>
      <c r="AD53" s="532">
        <f>(V53*AC53*D51)</f>
        <v>0</v>
      </c>
      <c r="AE53" s="720"/>
      <c r="AF53" s="733"/>
      <c r="AG53" s="733"/>
      <c r="AH53" s="721"/>
      <c r="AI53" s="721"/>
      <c r="AJ53" s="721"/>
      <c r="AK53" s="721"/>
      <c r="AL53" s="738">
        <f>AD53</f>
        <v>0</v>
      </c>
      <c r="AM53" s="721"/>
      <c r="AN53" s="721"/>
      <c r="AO53" s="721"/>
      <c r="AP53" s="721"/>
      <c r="AQ53" s="723"/>
      <c r="AR53" s="649"/>
      <c r="AY53" s="83"/>
      <c r="AZ53" s="212"/>
      <c r="BD53" s="1674" t="str">
        <f t="shared" si="85"/>
        <v>250-1000km</v>
      </c>
      <c r="BE53" s="1675">
        <f t="shared" si="86"/>
        <v>11059.577519052633</v>
      </c>
      <c r="BF53" s="1676">
        <f t="shared" si="87"/>
        <v>10267.890903768171</v>
      </c>
      <c r="BG53" s="1677">
        <f t="shared" si="88"/>
        <v>9286.096481513885</v>
      </c>
      <c r="BH53" s="1676">
        <f t="shared" si="76"/>
        <v>8928.434417988974</v>
      </c>
      <c r="BI53" s="1678">
        <f t="shared" si="89"/>
        <v>8570.7723544640648</v>
      </c>
      <c r="BK53" s="1674" t="str">
        <f t="shared" si="77"/>
        <v>250-1000km</v>
      </c>
      <c r="BL53" s="1679">
        <f>K75</f>
        <v>2.1052631578947367</v>
      </c>
      <c r="BM53" s="1680">
        <f>K215</f>
        <v>1.9545604153274481</v>
      </c>
      <c r="BN53" s="1681">
        <f>K355</f>
        <v>1.7676694041439078</v>
      </c>
      <c r="BO53" s="1680">
        <f t="shared" si="78"/>
        <v>1.6995860832378034</v>
      </c>
      <c r="BP53" s="1682">
        <f>K495</f>
        <v>1.6315027623316987</v>
      </c>
      <c r="BR53" s="1971" t="s">
        <v>502</v>
      </c>
      <c r="BS53" s="1972"/>
      <c r="BT53" s="1972"/>
      <c r="BU53" s="1972"/>
      <c r="BV53" s="1972"/>
      <c r="BW53" s="1972"/>
      <c r="BX53" s="1973"/>
      <c r="BZ53" s="1971" t="s">
        <v>503</v>
      </c>
      <c r="CA53" s="1972"/>
      <c r="CB53" s="1972"/>
      <c r="CC53" s="1972"/>
      <c r="CD53" s="1972"/>
      <c r="CE53" s="1972"/>
      <c r="CF53" s="1973"/>
    </row>
    <row r="54" spans="2:125" ht="15.75" customHeight="1" thickBot="1" x14ac:dyDescent="0.3">
      <c r="C54" s="562"/>
      <c r="D54" s="691"/>
      <c r="E54" s="547"/>
      <c r="F54" s="371"/>
      <c r="G54" s="373"/>
      <c r="H54" s="828"/>
      <c r="I54" s="691"/>
      <c r="J54" s="895"/>
      <c r="K54" s="369"/>
      <c r="L54" s="369"/>
      <c r="M54" s="691"/>
      <c r="N54" s="547"/>
      <c r="O54" s="380"/>
      <c r="P54" s="538"/>
      <c r="Q54" s="473"/>
      <c r="R54" s="538"/>
      <c r="S54" s="661"/>
      <c r="T54" s="525"/>
      <c r="U54" s="391" t="s">
        <v>409</v>
      </c>
      <c r="V54" s="295">
        <v>0</v>
      </c>
      <c r="W54" s="532"/>
      <c r="X54" s="4"/>
      <c r="Y54" s="4"/>
      <c r="Z54" s="4"/>
      <c r="AA54" s="4"/>
      <c r="AB54" s="416">
        <f t="shared" si="84"/>
        <v>1518.7136731777036</v>
      </c>
      <c r="AC54" s="411">
        <f t="shared" si="84"/>
        <v>2.9376057208014092</v>
      </c>
      <c r="AD54" s="532">
        <f>(V54*AC54*D51)</f>
        <v>0</v>
      </c>
      <c r="AE54" s="720"/>
      <c r="AF54" s="733"/>
      <c r="AG54" s="733"/>
      <c r="AH54" s="738">
        <f>AD54</f>
        <v>0</v>
      </c>
      <c r="AI54" s="721"/>
      <c r="AJ54" s="721"/>
      <c r="AK54" s="721"/>
      <c r="AL54" s="721"/>
      <c r="AM54" s="721"/>
      <c r="AN54" s="721"/>
      <c r="AO54" s="721"/>
      <c r="AP54" s="721"/>
      <c r="AQ54" s="721"/>
      <c r="AR54" s="649"/>
      <c r="AY54" s="83"/>
      <c r="AZ54" s="894"/>
      <c r="BD54" s="1674" t="str">
        <f t="shared" si="85"/>
        <v>&gt;1000km</v>
      </c>
      <c r="BE54" s="1675">
        <f t="shared" si="86"/>
        <v>2335.0226344077673</v>
      </c>
      <c r="BF54" s="1676">
        <f t="shared" si="87"/>
        <v>2737.3893640236897</v>
      </c>
      <c r="BG54" s="1677">
        <f t="shared" si="88"/>
        <v>3122.9640973036758</v>
      </c>
      <c r="BH54" s="1676">
        <f t="shared" si="76"/>
        <v>3362.2799797183498</v>
      </c>
      <c r="BI54" s="1678">
        <f t="shared" si="89"/>
        <v>3601.5958621330242</v>
      </c>
      <c r="BK54" s="1674" t="str">
        <f t="shared" si="77"/>
        <v>&gt;1000km</v>
      </c>
      <c r="BL54" s="1679">
        <f>K76</f>
        <v>0.58252427184466027</v>
      </c>
      <c r="BM54" s="1680">
        <f>K216</f>
        <v>0.54082496928963375</v>
      </c>
      <c r="BN54" s="1681">
        <f>K356</f>
        <v>0.48911240794273181</v>
      </c>
      <c r="BO54" s="1680">
        <f t="shared" si="78"/>
        <v>0.47027381914832422</v>
      </c>
      <c r="BP54" s="1682">
        <f>K496</f>
        <v>0.45143523035391669</v>
      </c>
      <c r="BR54" s="1751" t="s">
        <v>454</v>
      </c>
      <c r="BS54" s="1752" t="str">
        <f>AE4</f>
        <v>Petrol</v>
      </c>
      <c r="BT54" s="1752" t="str">
        <f>AF4</f>
        <v>Diesel</v>
      </c>
      <c r="BU54" s="1752" t="str">
        <f>AG4</f>
        <v xml:space="preserve">Jet fuel </v>
      </c>
      <c r="BV54" s="1752" t="str">
        <f>AJ4</f>
        <v>Bioethanol</v>
      </c>
      <c r="BW54" s="1752" t="str">
        <f>AK4</f>
        <v>Biodiesel</v>
      </c>
      <c r="BX54" s="1753" t="s">
        <v>508</v>
      </c>
      <c r="BY54" s="1754"/>
      <c r="BZ54" s="1751" t="s">
        <v>454</v>
      </c>
      <c r="CA54" s="1752" t="str">
        <f>BS54</f>
        <v>Petrol</v>
      </c>
      <c r="CB54" s="1752" t="str">
        <f t="shared" ref="CB54:CF54" si="90">BT54</f>
        <v>Diesel</v>
      </c>
      <c r="CC54" s="1752" t="str">
        <f t="shared" si="90"/>
        <v xml:space="preserve">Jet fuel </v>
      </c>
      <c r="CD54" s="1752" t="str">
        <f t="shared" si="90"/>
        <v>Bioethanol</v>
      </c>
      <c r="CE54" s="1752" t="str">
        <f t="shared" si="90"/>
        <v>Biodiesel</v>
      </c>
      <c r="CF54" s="1753" t="str">
        <f t="shared" si="90"/>
        <v>Electricity (Train)</v>
      </c>
    </row>
    <row r="55" spans="2:125" ht="16.5" customHeight="1" thickBot="1" x14ac:dyDescent="0.3">
      <c r="C55" s="860"/>
      <c r="D55" s="532"/>
      <c r="E55" s="815"/>
      <c r="F55" s="57"/>
      <c r="G55" s="4"/>
      <c r="H55" s="829"/>
      <c r="I55" s="532"/>
      <c r="J55" s="366"/>
      <c r="N55" s="545"/>
      <c r="O55" s="380"/>
      <c r="P55" s="538"/>
      <c r="Q55" s="473"/>
      <c r="R55" s="538"/>
      <c r="S55" s="664"/>
      <c r="T55" s="525"/>
      <c r="U55" s="391" t="s">
        <v>99</v>
      </c>
      <c r="V55" s="459">
        <f>1-SUM(V52:V54)</f>
        <v>1</v>
      </c>
      <c r="W55" s="538">
        <f>AB55*78</f>
        <v>118459.66650786088</v>
      </c>
      <c r="X55" s="369"/>
      <c r="Y55" s="369"/>
      <c r="Z55" s="613"/>
      <c r="AA55" s="613"/>
      <c r="AB55" s="416">
        <f>((I52*L52)+(I53*L53))/SUM(I52+I53)</f>
        <v>1518.7136731777036</v>
      </c>
      <c r="AC55" s="411">
        <f>((K52*D52)+(K53*D53))/SUM(D52,D53)</f>
        <v>2.9376057208014092</v>
      </c>
      <c r="AD55" s="532">
        <f>(V55*AC55*$D$51)</f>
        <v>2716.4040100250631</v>
      </c>
      <c r="AE55" s="720"/>
      <c r="AF55" s="738">
        <f>AD55</f>
        <v>2716.4040100250631</v>
      </c>
      <c r="AG55" s="721"/>
      <c r="AH55" s="721"/>
      <c r="AI55" s="721"/>
      <c r="AJ55" s="721"/>
      <c r="AK55" s="721"/>
      <c r="AL55" s="721"/>
      <c r="AM55" s="721"/>
      <c r="AN55" s="721"/>
      <c r="AO55" s="721"/>
      <c r="AP55" s="721"/>
      <c r="AQ55" s="723"/>
      <c r="AR55" s="654"/>
      <c r="AY55" s="83"/>
      <c r="AZ55" s="212"/>
      <c r="BD55" s="1695" t="str">
        <f>C85</f>
        <v>Vans (2-6 t)</v>
      </c>
      <c r="BE55" s="1696">
        <f>M85</f>
        <v>40565</v>
      </c>
      <c r="BF55" s="1697">
        <f>M225</f>
        <v>43573.929304048157</v>
      </c>
      <c r="BG55" s="1698">
        <f>M365</f>
        <v>46806.047454559011</v>
      </c>
      <c r="BH55" s="1697">
        <f t="shared" si="76"/>
        <v>50286.278831379837</v>
      </c>
      <c r="BI55" s="1699">
        <f>M505</f>
        <v>53766.510208200671</v>
      </c>
      <c r="BK55" s="1695" t="str">
        <f t="shared" si="77"/>
        <v>Vans (2-6 t)</v>
      </c>
      <c r="BL55" s="1700">
        <f>K85</f>
        <v>10</v>
      </c>
      <c r="BM55" s="1701">
        <f>K225</f>
        <v>8.641045384735067</v>
      </c>
      <c r="BN55" s="1702">
        <f>K365</f>
        <v>7.4667665341051181</v>
      </c>
      <c r="BO55" s="1701">
        <f t="shared" si="78"/>
        <v>7.1791775421359763</v>
      </c>
      <c r="BP55" s="1703">
        <f>K505</f>
        <v>6.8915885501668352</v>
      </c>
      <c r="BR55" s="1755">
        <v>2010</v>
      </c>
      <c r="BS55" s="1756">
        <f>AE56</f>
        <v>65127.385710680537</v>
      </c>
      <c r="BT55" s="1756">
        <f>AF56</f>
        <v>40472.995670724369</v>
      </c>
      <c r="BU55" s="1756">
        <f>AG56</f>
        <v>26689.175738372644</v>
      </c>
      <c r="BV55" s="1756">
        <f>AJ56</f>
        <v>229.48338869161566</v>
      </c>
      <c r="BW55" s="1756">
        <f>AK56</f>
        <v>274.28441317461471</v>
      </c>
      <c r="BX55" s="1717">
        <f>AP56</f>
        <v>1288.4448444444442</v>
      </c>
      <c r="BZ55" s="1755">
        <v>2010</v>
      </c>
      <c r="CA55" s="1756">
        <f>BS55/1000</f>
        <v>65.127385710680542</v>
      </c>
      <c r="CB55" s="1756">
        <f t="shared" ref="CB55:CF59" si="91">BT55/1000</f>
        <v>40.472995670724366</v>
      </c>
      <c r="CC55" s="1756">
        <f t="shared" si="91"/>
        <v>26.689175738372644</v>
      </c>
      <c r="CD55" s="1756">
        <f t="shared" si="91"/>
        <v>0.22948338869161566</v>
      </c>
      <c r="CE55" s="1756">
        <f t="shared" si="91"/>
        <v>0.27428441317461472</v>
      </c>
      <c r="CF55" s="1717">
        <f t="shared" si="91"/>
        <v>1.2884448444444443</v>
      </c>
      <c r="CG55" s="1732"/>
      <c r="CH55" s="1757"/>
    </row>
    <row r="56" spans="2:125" ht="15.75" customHeight="1" thickBot="1" x14ac:dyDescent="0.3">
      <c r="C56" s="566" t="s">
        <v>0</v>
      </c>
      <c r="D56" s="696">
        <f>SUM(D6+D25+D28+D31+D36+D41+D47+D48+D52+D53)</f>
        <v>89185.495608331985</v>
      </c>
      <c r="E56" s="816">
        <f>SUM(E53+E52+E48+E47+E41+E36+E31+E28+E25+E6)</f>
        <v>1</v>
      </c>
      <c r="F56" s="427"/>
      <c r="G56" s="427"/>
      <c r="H56" s="831"/>
      <c r="I56" s="696">
        <f>SUM(I6+I25+I28+I31+I36+I41+I47+I48+I52+I53)</f>
        <v>38604.878182540269</v>
      </c>
      <c r="J56" s="428">
        <f>SUM(J6+J25+J28+J31+J36+J41+J47+J48+J52+J53)</f>
        <v>0.99999999999999989</v>
      </c>
      <c r="K56" s="427"/>
      <c r="L56" s="427"/>
      <c r="M56" s="696">
        <f>SUM(M7+M12+M17+M25+M28+M31+M36+M41+M47+M48+M52+M53)</f>
        <v>134081.76504361432</v>
      </c>
      <c r="N56" s="541">
        <f>SUM(N6+N25+N28+N31+N36+N41+N47+N48+N52+N53)</f>
        <v>0.99999999999999989</v>
      </c>
      <c r="O56" s="688"/>
      <c r="P56" s="760">
        <f>P6+P24+P30+P46+P51</f>
        <v>134081.76504361429</v>
      </c>
      <c r="Q56" s="811"/>
      <c r="R56" s="760">
        <f>R6+R24+R41+R30+R46+R51</f>
        <v>89185.495608331999</v>
      </c>
      <c r="S56" s="798"/>
      <c r="T56" s="689"/>
      <c r="U56" s="614"/>
      <c r="V56" s="429"/>
      <c r="W56" s="696"/>
      <c r="X56" s="427"/>
      <c r="Y56" s="427"/>
      <c r="Z56" s="427"/>
      <c r="AA56" s="427"/>
      <c r="AB56" s="427"/>
      <c r="AC56" s="427"/>
      <c r="AD56" s="696">
        <f>SUM(AD6+AD24+AD30+AD41+AD46+AD51)</f>
        <v>134081.76976608823</v>
      </c>
      <c r="AE56" s="846">
        <f t="shared" ref="AE56:AQ56" si="92">SUM(AE6:AE55)</f>
        <v>65127.385710680537</v>
      </c>
      <c r="AF56" s="847">
        <f t="shared" si="92"/>
        <v>40472.995670724369</v>
      </c>
      <c r="AG56" s="847">
        <f t="shared" si="92"/>
        <v>26689.175738372644</v>
      </c>
      <c r="AH56" s="847">
        <f t="shared" si="92"/>
        <v>0</v>
      </c>
      <c r="AI56" s="847">
        <f t="shared" si="92"/>
        <v>0</v>
      </c>
      <c r="AJ56" s="847">
        <f t="shared" si="92"/>
        <v>229.48338869161566</v>
      </c>
      <c r="AK56" s="847">
        <f t="shared" si="92"/>
        <v>274.28441317461471</v>
      </c>
      <c r="AL56" s="847">
        <f t="shared" si="92"/>
        <v>0</v>
      </c>
      <c r="AM56" s="847">
        <f t="shared" si="92"/>
        <v>0</v>
      </c>
      <c r="AN56" s="847">
        <f t="shared" si="92"/>
        <v>0</v>
      </c>
      <c r="AO56" s="847">
        <f t="shared" si="92"/>
        <v>0</v>
      </c>
      <c r="AP56" s="847">
        <f t="shared" si="92"/>
        <v>1288.4448444444442</v>
      </c>
      <c r="AQ56" s="848">
        <f t="shared" si="92"/>
        <v>0</v>
      </c>
      <c r="AR56" s="655"/>
      <c r="AS56" s="36"/>
      <c r="AT56" s="48"/>
      <c r="AU56" s="48"/>
      <c r="AV56" s="48"/>
      <c r="AW56" s="48"/>
      <c r="AX56" s="48"/>
      <c r="AY56" s="83"/>
      <c r="AZ56" s="212"/>
      <c r="BD56" s="1674" t="str">
        <f t="shared" ref="BD56:BD57" si="93">C86</f>
        <v>&lt;50km</v>
      </c>
      <c r="BE56" s="1675">
        <f t="shared" ref="BE56:BE57" si="94">M86</f>
        <v>13739.3655</v>
      </c>
      <c r="BF56" s="1676">
        <f t="shared" ref="BF56:BF57" si="95">M226</f>
        <v>14758.48985528111</v>
      </c>
      <c r="BG56" s="1677">
        <f t="shared" ref="BG56:BG57" si="96">M366</f>
        <v>15853.208272859138</v>
      </c>
      <c r="BH56" s="1676">
        <f t="shared" si="76"/>
        <v>17031.962640188351</v>
      </c>
      <c r="BI56" s="1678">
        <f t="shared" ref="BI56:BI57" si="97">M506</f>
        <v>18210.71700751756</v>
      </c>
      <c r="BK56" s="1674" t="str">
        <f t="shared" si="77"/>
        <v>&lt;50km</v>
      </c>
      <c r="BL56" s="1679">
        <f>K86</f>
        <v>10</v>
      </c>
      <c r="BM56" s="1680">
        <f>K226</f>
        <v>8.641045384735067</v>
      </c>
      <c r="BN56" s="1681">
        <f>K366</f>
        <v>7.466766534105119</v>
      </c>
      <c r="BO56" s="1680">
        <f t="shared" si="78"/>
        <v>7.1791775421359771</v>
      </c>
      <c r="BP56" s="1682">
        <f>K506</f>
        <v>6.8915885501668352</v>
      </c>
      <c r="BR56" s="1755">
        <v>2020</v>
      </c>
      <c r="BS56" s="1756">
        <f>AE196</f>
        <v>60289.284218838293</v>
      </c>
      <c r="BT56" s="1756">
        <f>AF196</f>
        <v>42371.792999784877</v>
      </c>
      <c r="BU56" s="1756">
        <f>AG196</f>
        <v>33409.400224203091</v>
      </c>
      <c r="BV56" s="1756">
        <f>AJ196</f>
        <v>2794.8628133068978</v>
      </c>
      <c r="BW56" s="1756">
        <f>AK196</f>
        <v>3285.2872233187732</v>
      </c>
      <c r="BX56" s="1717">
        <f>AP196</f>
        <v>2418.827844695209</v>
      </c>
      <c r="BZ56" s="1755">
        <v>2020</v>
      </c>
      <c r="CA56" s="1756">
        <f t="shared" ref="CA56:CA59" si="98">BS56/1000</f>
        <v>60.28928421883829</v>
      </c>
      <c r="CB56" s="1756">
        <f t="shared" si="91"/>
        <v>42.37179299978488</v>
      </c>
      <c r="CC56" s="1756">
        <f t="shared" si="91"/>
        <v>33.40940022420309</v>
      </c>
      <c r="CD56" s="1756">
        <f t="shared" si="91"/>
        <v>2.794862813306898</v>
      </c>
      <c r="CE56" s="1756">
        <f t="shared" si="91"/>
        <v>3.2852872233187731</v>
      </c>
      <c r="CF56" s="1717">
        <f t="shared" si="91"/>
        <v>2.4188278446952092</v>
      </c>
      <c r="CG56" s="1732"/>
      <c r="CH56" s="1757"/>
    </row>
    <row r="57" spans="2:125" s="48" customFormat="1" ht="15.75" customHeight="1" thickBot="1" x14ac:dyDescent="0.3">
      <c r="B57" s="7"/>
      <c r="C57" s="5"/>
      <c r="D57" s="532"/>
      <c r="E57" s="448"/>
      <c r="F57" s="4"/>
      <c r="G57" s="4"/>
      <c r="H57" s="829"/>
      <c r="I57" s="532"/>
      <c r="J57" s="417"/>
      <c r="K57" s="4"/>
      <c r="L57" s="4"/>
      <c r="M57" s="532"/>
      <c r="N57" s="448"/>
      <c r="O57" s="4"/>
      <c r="P57" s="532"/>
      <c r="Q57" s="417"/>
      <c r="R57" s="532"/>
      <c r="S57" s="417"/>
      <c r="T57" s="517"/>
      <c r="U57" s="4"/>
      <c r="V57" s="4"/>
      <c r="W57" s="532"/>
      <c r="X57" s="4"/>
      <c r="Y57" s="4"/>
      <c r="Z57" s="4"/>
      <c r="AA57" s="4"/>
      <c r="AB57" s="4"/>
      <c r="AC57" s="4"/>
      <c r="AD57" s="532"/>
      <c r="AE57" s="517"/>
      <c r="AF57" s="529"/>
      <c r="AG57" s="529"/>
      <c r="AH57" s="532"/>
      <c r="AI57" s="532"/>
      <c r="AJ57" s="532"/>
      <c r="AK57" s="532"/>
      <c r="AL57" s="532"/>
      <c r="AM57" s="532"/>
      <c r="AN57" s="532"/>
      <c r="AO57" s="532"/>
      <c r="AP57" s="517"/>
      <c r="AQ57" s="517"/>
      <c r="AR57" s="517"/>
      <c r="AS57" s="36"/>
      <c r="AY57" s="83"/>
      <c r="AZ57" s="212"/>
      <c r="BA57" s="7"/>
      <c r="BB57" s="7"/>
      <c r="BC57" s="7"/>
      <c r="BD57" s="1674" t="str">
        <f t="shared" si="93"/>
        <v>&gt;50km</v>
      </c>
      <c r="BE57" s="1675">
        <f t="shared" si="94"/>
        <v>26825.6345</v>
      </c>
      <c r="BF57" s="1676">
        <f t="shared" si="95"/>
        <v>28815.439448767051</v>
      </c>
      <c r="BG57" s="1677">
        <f t="shared" si="96"/>
        <v>30952.839181699881</v>
      </c>
      <c r="BH57" s="1676">
        <f t="shared" si="76"/>
        <v>33254.316191191494</v>
      </c>
      <c r="BI57" s="1678">
        <f t="shared" si="97"/>
        <v>35555.793200683103</v>
      </c>
      <c r="BJ57" s="7"/>
      <c r="BK57" s="1674" t="str">
        <f t="shared" si="77"/>
        <v>&gt;50km</v>
      </c>
      <c r="BL57" s="1679">
        <f>K87</f>
        <v>10</v>
      </c>
      <c r="BM57" s="1680">
        <f>K227</f>
        <v>8.641045384735067</v>
      </c>
      <c r="BN57" s="1681">
        <f>K367</f>
        <v>7.466766534105119</v>
      </c>
      <c r="BO57" s="1680">
        <f t="shared" si="78"/>
        <v>7.1791775421359771</v>
      </c>
      <c r="BP57" s="1682">
        <f>K507</f>
        <v>6.8915885501668352</v>
      </c>
      <c r="BQ57" s="7"/>
      <c r="BR57" s="1755">
        <v>2030</v>
      </c>
      <c r="BS57" s="1756">
        <f>AE336</f>
        <v>55942.759300074053</v>
      </c>
      <c r="BT57" s="1756">
        <f>AF336</f>
        <v>51287.803721363663</v>
      </c>
      <c r="BU57" s="1756">
        <f>AG336</f>
        <v>36331.487865090639</v>
      </c>
      <c r="BV57" s="1756">
        <f>AJ336</f>
        <v>2960.3584889056965</v>
      </c>
      <c r="BW57" s="1756">
        <f>AK336</f>
        <v>3415.1033889827954</v>
      </c>
      <c r="BX57" s="1717">
        <f>AP336</f>
        <v>2832.693211847838</v>
      </c>
      <c r="BY57" s="7"/>
      <c r="BZ57" s="1755">
        <v>2030</v>
      </c>
      <c r="CA57" s="1756">
        <f t="shared" si="98"/>
        <v>55.942759300074052</v>
      </c>
      <c r="CB57" s="1756">
        <f t="shared" si="91"/>
        <v>51.287803721363666</v>
      </c>
      <c r="CC57" s="1756">
        <f t="shared" si="91"/>
        <v>36.331487865090637</v>
      </c>
      <c r="CD57" s="1756">
        <f t="shared" si="91"/>
        <v>2.9603584889056966</v>
      </c>
      <c r="CE57" s="1756">
        <f t="shared" si="91"/>
        <v>3.4151033889827955</v>
      </c>
      <c r="CF57" s="1717">
        <f t="shared" si="91"/>
        <v>2.8326932118478378</v>
      </c>
      <c r="CG57" s="1732"/>
      <c r="CH57" s="175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row>
    <row r="58" spans="2:125" s="48" customFormat="1" ht="15.75" customHeight="1" thickBot="1" x14ac:dyDescent="0.3">
      <c r="B58" s="7"/>
      <c r="C58" s="5"/>
      <c r="D58" s="1907" t="str">
        <f>$D$3</f>
        <v>Transport demand by mode of transport</v>
      </c>
      <c r="E58" s="1908"/>
      <c r="F58" s="1908"/>
      <c r="G58" s="1908"/>
      <c r="H58" s="1908"/>
      <c r="I58" s="1908"/>
      <c r="J58" s="1909"/>
      <c r="K58" s="1907" t="str">
        <f>$K$3</f>
        <v>Transport-energy demand by mode of tranport</v>
      </c>
      <c r="L58" s="1908"/>
      <c r="M58" s="1908"/>
      <c r="N58" s="1908"/>
      <c r="O58" s="1907" t="str">
        <f>$O$3</f>
        <v>Transport and transport-energy demand by fuel</v>
      </c>
      <c r="P58" s="1908"/>
      <c r="Q58" s="1908"/>
      <c r="R58" s="1908"/>
      <c r="S58" s="1909"/>
      <c r="T58" s="517"/>
      <c r="U58" s="849" t="str">
        <f>$U$3</f>
        <v>Implementation of potential technologies</v>
      </c>
      <c r="V58" s="850"/>
      <c r="W58" s="850"/>
      <c r="X58" s="850"/>
      <c r="Y58" s="850"/>
      <c r="Z58" s="850"/>
      <c r="AA58" s="850"/>
      <c r="AB58" s="850"/>
      <c r="AC58" s="850"/>
      <c r="AD58" s="851"/>
      <c r="AE58" s="1901" t="str">
        <f>$AE$3</f>
        <v>Fuel consumpiton after the new technologies are implemented</v>
      </c>
      <c r="AF58" s="1902"/>
      <c r="AG58" s="1902"/>
      <c r="AH58" s="1902"/>
      <c r="AI58" s="1902"/>
      <c r="AJ58" s="1902"/>
      <c r="AK58" s="1902"/>
      <c r="AL58" s="1902"/>
      <c r="AM58" s="1902"/>
      <c r="AN58" s="1902"/>
      <c r="AO58" s="1902"/>
      <c r="AP58" s="1902"/>
      <c r="AQ58" s="1903"/>
      <c r="AR58" s="517"/>
      <c r="AT58" s="7"/>
      <c r="AU58" s="7"/>
      <c r="AV58" s="7"/>
      <c r="AW58" s="7"/>
      <c r="AX58" s="7"/>
      <c r="AY58" s="83"/>
      <c r="AZ58" s="327"/>
      <c r="BA58" s="7"/>
      <c r="BB58" s="7"/>
      <c r="BC58" s="7"/>
      <c r="BD58" s="1695" t="str">
        <f>C103</f>
        <v xml:space="preserve">National rail </v>
      </c>
      <c r="BE58" s="1696">
        <f>M103</f>
        <v>67.254065477477468</v>
      </c>
      <c r="BF58" s="1697">
        <f>M243</f>
        <v>58.696738738738738</v>
      </c>
      <c r="BG58" s="1698">
        <f>M383</f>
        <v>55.125045045045042</v>
      </c>
      <c r="BH58" s="1697">
        <f t="shared" si="76"/>
        <v>55.11752252252252</v>
      </c>
      <c r="BI58" s="1699">
        <f>M523</f>
        <v>55.11</v>
      </c>
      <c r="BJ58" s="7"/>
      <c r="BK58" s="1695" t="str">
        <f t="shared" si="77"/>
        <v xml:space="preserve">National rail </v>
      </c>
      <c r="BL58" s="1700">
        <f>K103</f>
        <v>0.40271895495495497</v>
      </c>
      <c r="BM58" s="1701">
        <f>K243</f>
        <v>0.35147747747747754</v>
      </c>
      <c r="BN58" s="1702">
        <f>K383</f>
        <v>0.33009009009009005</v>
      </c>
      <c r="BO58" s="1701">
        <f t="shared" si="78"/>
        <v>0.33004504504504506</v>
      </c>
      <c r="BP58" s="1703">
        <f>K523</f>
        <v>0.33</v>
      </c>
      <c r="BQ58" s="7"/>
      <c r="BR58" s="1755">
        <v>2040</v>
      </c>
      <c r="BS58" s="1756">
        <f>AVERAGE(BS57,BS59)</f>
        <v>47529.537889558589</v>
      </c>
      <c r="BT58" s="1756">
        <f t="shared" ref="BT58:BX58" si="99">AVERAGE(BT57,BT59)</f>
        <v>65960.695853123209</v>
      </c>
      <c r="BU58" s="1756">
        <f t="shared" si="99"/>
        <v>34339.680266271826</v>
      </c>
      <c r="BV58" s="1756">
        <f t="shared" si="99"/>
        <v>3157.0031932974371</v>
      </c>
      <c r="BW58" s="1756">
        <f t="shared" si="99"/>
        <v>3599.5424090720676</v>
      </c>
      <c r="BX58" s="1717">
        <f t="shared" si="99"/>
        <v>2868.5255252994484</v>
      </c>
      <c r="BY58" s="7"/>
      <c r="BZ58" s="1755">
        <v>2040</v>
      </c>
      <c r="CA58" s="1756">
        <f t="shared" si="98"/>
        <v>47.52953788955859</v>
      </c>
      <c r="CB58" s="1756">
        <f t="shared" si="91"/>
        <v>65.960695853123212</v>
      </c>
      <c r="CC58" s="1756">
        <f t="shared" si="91"/>
        <v>34.339680266271827</v>
      </c>
      <c r="CD58" s="1756">
        <f t="shared" si="91"/>
        <v>3.1570031932974372</v>
      </c>
      <c r="CE58" s="1756">
        <f t="shared" si="91"/>
        <v>3.5995424090720678</v>
      </c>
      <c r="CF58" s="1717">
        <f t="shared" si="91"/>
        <v>2.8685255252994484</v>
      </c>
      <c r="CG58" s="1732"/>
      <c r="CH58" s="175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row>
    <row r="59" spans="2:125" ht="57" thickBot="1" x14ac:dyDescent="0.3">
      <c r="C59" s="1923" t="s">
        <v>14</v>
      </c>
      <c r="D59" s="1904" t="str">
        <f>$D$4</f>
        <v>Transport demand</v>
      </c>
      <c r="E59" s="1905"/>
      <c r="F59" s="326" t="str">
        <f>$F$4</f>
        <v>Capacity</v>
      </c>
      <c r="G59" s="1916" t="str">
        <f>$G$4</f>
        <v>Load factor</v>
      </c>
      <c r="H59" s="1916"/>
      <c r="I59" s="1916" t="str">
        <f>$I$4</f>
        <v>Traffic work</v>
      </c>
      <c r="J59" s="1920"/>
      <c r="K59" s="1927" t="s">
        <v>36</v>
      </c>
      <c r="L59" s="1927"/>
      <c r="M59" s="1916" t="str">
        <f>$M$4</f>
        <v>Energy demand</v>
      </c>
      <c r="N59" s="1916"/>
      <c r="O59" s="1904" t="str">
        <f>$O$4</f>
        <v>Total fuel consumption</v>
      </c>
      <c r="P59" s="1905"/>
      <c r="Q59" s="1905"/>
      <c r="R59" s="1905" t="str">
        <f>$R$4</f>
        <v>Transport demand</v>
      </c>
      <c r="S59" s="1906"/>
      <c r="T59" s="656" t="str">
        <f>$T$4</f>
        <v>No of vehicles</v>
      </c>
      <c r="U59" s="328" t="str">
        <f>$U$4</f>
        <v>Type of technology</v>
      </c>
      <c r="V59" s="927" t="str">
        <f>$V$4</f>
        <v>Share</v>
      </c>
      <c r="W59" s="712" t="str">
        <f>$W$4</f>
        <v>CO2-emissions</v>
      </c>
      <c r="X59" s="328" t="str">
        <f>$X$4</f>
        <v>Specific energy consumption to move the vehicle</v>
      </c>
      <c r="Y59" s="328" t="str">
        <f>$Y$4</f>
        <v>Engine efficiency</v>
      </c>
      <c r="Z59" s="1905" t="str">
        <f>$Z$4</f>
        <v xml:space="preserve">Specific energy consumption </v>
      </c>
      <c r="AA59" s="1905"/>
      <c r="AB59" s="1905"/>
      <c r="AC59" s="328" t="str">
        <f>$AC$4</f>
        <v>Utilization efficiency</v>
      </c>
      <c r="AD59" s="712" t="str">
        <f>$AD$4</f>
        <v>Energy demand</v>
      </c>
      <c r="AE59" s="711" t="str">
        <f>$AE$4</f>
        <v>Petrol</v>
      </c>
      <c r="AF59" s="712" t="str">
        <f>$AF$4</f>
        <v>Diesel</v>
      </c>
      <c r="AG59" s="712" t="str">
        <f>$AG$4</f>
        <v xml:space="preserve">Jet fuel </v>
      </c>
      <c r="AH59" s="712" t="str">
        <f>$AH$4</f>
        <v>Syn-methanol</v>
      </c>
      <c r="AI59" s="712" t="str">
        <f>$AI$4</f>
        <v>Bio-methanol</v>
      </c>
      <c r="AJ59" s="712" t="str">
        <f>$AJ$4</f>
        <v>Bioethanol</v>
      </c>
      <c r="AK59" s="712" t="str">
        <f>$AK$4</f>
        <v>Biodiesel</v>
      </c>
      <c r="AL59" s="712" t="str">
        <f>$AL$4</f>
        <v>Biogas</v>
      </c>
      <c r="AM59" s="712" t="str">
        <f>$AM$4</f>
        <v>Bio-jetfuel</v>
      </c>
      <c r="AN59" s="712" t="str">
        <f>$AN$4</f>
        <v>Electricity BEV</v>
      </c>
      <c r="AO59" s="712" t="str">
        <f>$AO$4</f>
        <v>Electricity Plug-in-hybrid</v>
      </c>
      <c r="AP59" s="712" t="str">
        <f>$AP$4</f>
        <v>Electricity Train / bus</v>
      </c>
      <c r="AQ59" s="656" t="str">
        <f>$AQ$4</f>
        <v>Syn-jetfuel</v>
      </c>
      <c r="AR59" s="518" t="str">
        <f>$AR$4</f>
        <v>No of vehicles</v>
      </c>
      <c r="AY59" s="83"/>
      <c r="AZ59" s="212"/>
      <c r="BD59" s="1674" t="str">
        <f t="shared" ref="BD59:BD60" si="100">C104</f>
        <v>National rail (diesel)</v>
      </c>
      <c r="BE59" s="1675">
        <f t="shared" ref="BE59:BE60" si="101">M104</f>
        <v>21.51276547747748</v>
      </c>
      <c r="BF59" s="1676">
        <f t="shared" ref="BF59:BF60" si="102">M244</f>
        <v>6.3279459459459462</v>
      </c>
      <c r="BG59" s="1677">
        <f t="shared" ref="BG59:BG60" si="103">M384</f>
        <v>0</v>
      </c>
      <c r="BH59" s="1676">
        <f t="shared" si="76"/>
        <v>0</v>
      </c>
      <c r="BI59" s="1678">
        <f t="shared" ref="BI59:BI60" si="104">M524</f>
        <v>0</v>
      </c>
      <c r="BK59" s="1674" t="str">
        <f t="shared" si="77"/>
        <v>National rail (diesel)</v>
      </c>
      <c r="BL59" s="1679">
        <f>K104</f>
        <v>0.75775855855855856</v>
      </c>
      <c r="BM59" s="1680">
        <f>K244</f>
        <v>0.75783783783783787</v>
      </c>
      <c r="BN59" s="1681">
        <f>K384</f>
        <v>0.75783783783783787</v>
      </c>
      <c r="BO59" s="1680">
        <f t="shared" si="78"/>
        <v>0.75779819819819827</v>
      </c>
      <c r="BP59" s="1682">
        <f>K524</f>
        <v>0.75775855855855856</v>
      </c>
      <c r="BR59" s="1758">
        <v>2050</v>
      </c>
      <c r="BS59" s="1759">
        <f>AE476</f>
        <v>39116.316479043126</v>
      </c>
      <c r="BT59" s="1759">
        <f>AF476</f>
        <v>80633.587984882746</v>
      </c>
      <c r="BU59" s="1759">
        <f>AG476</f>
        <v>32347.872667453015</v>
      </c>
      <c r="BV59" s="1759">
        <f>AJ476</f>
        <v>3353.6478976891776</v>
      </c>
      <c r="BW59" s="1759">
        <f>AK476</f>
        <v>3783.9814291613397</v>
      </c>
      <c r="BX59" s="1760">
        <f>AP476</f>
        <v>2904.3578387510588</v>
      </c>
      <c r="BZ59" s="1758">
        <v>2050</v>
      </c>
      <c r="CA59" s="1759">
        <f t="shared" si="98"/>
        <v>39.116316479043128</v>
      </c>
      <c r="CB59" s="1759">
        <f t="shared" si="91"/>
        <v>80.633587984882752</v>
      </c>
      <c r="CC59" s="1759">
        <f t="shared" si="91"/>
        <v>32.347872667453018</v>
      </c>
      <c r="CD59" s="1759">
        <f t="shared" si="91"/>
        <v>3.3536478976891777</v>
      </c>
      <c r="CE59" s="1759">
        <f t="shared" si="91"/>
        <v>3.7839814291613396</v>
      </c>
      <c r="CF59" s="1760">
        <f t="shared" si="91"/>
        <v>2.9043578387510589</v>
      </c>
      <c r="CG59" s="1732"/>
      <c r="CH59" s="1761"/>
    </row>
    <row r="60" spans="2:125" ht="16.5" thickBot="1" x14ac:dyDescent="0.3">
      <c r="B60" s="1913">
        <f>B5</f>
        <v>2010</v>
      </c>
      <c r="C60" s="1924"/>
      <c r="D60" s="697" t="s">
        <v>289</v>
      </c>
      <c r="E60" s="783" t="s">
        <v>1</v>
      </c>
      <c r="F60" s="348" t="s">
        <v>285</v>
      </c>
      <c r="G60" s="349" t="s">
        <v>1</v>
      </c>
      <c r="H60" s="819" t="s">
        <v>285</v>
      </c>
      <c r="I60" s="746" t="s">
        <v>286</v>
      </c>
      <c r="J60" s="794" t="s">
        <v>1</v>
      </c>
      <c r="K60" s="348" t="s">
        <v>71</v>
      </c>
      <c r="L60" s="348" t="s">
        <v>65</v>
      </c>
      <c r="M60" s="690" t="s">
        <v>2</v>
      </c>
      <c r="N60" s="783" t="s">
        <v>1</v>
      </c>
      <c r="O60" s="350" t="s">
        <v>51</v>
      </c>
      <c r="P60" s="746" t="s">
        <v>2</v>
      </c>
      <c r="Q60" s="808" t="s">
        <v>287</v>
      </c>
      <c r="R60" s="746" t="s">
        <v>289</v>
      </c>
      <c r="S60" s="794" t="s">
        <v>1</v>
      </c>
      <c r="T60" s="657"/>
      <c r="U60" s="348"/>
      <c r="V60" s="350" t="s">
        <v>58</v>
      </c>
      <c r="W60" s="746" t="s">
        <v>130</v>
      </c>
      <c r="X60" s="348" t="s">
        <v>103</v>
      </c>
      <c r="Y60" s="348" t="s">
        <v>255</v>
      </c>
      <c r="Z60" s="349" t="s">
        <v>102</v>
      </c>
      <c r="AA60" s="349" t="s">
        <v>54</v>
      </c>
      <c r="AB60" s="348" t="s">
        <v>55</v>
      </c>
      <c r="AC60" s="349" t="s">
        <v>71</v>
      </c>
      <c r="AD60" s="746" t="s">
        <v>89</v>
      </c>
      <c r="AE60" s="713" t="s">
        <v>2</v>
      </c>
      <c r="AF60" s="714" t="s">
        <v>2</v>
      </c>
      <c r="AG60" s="714" t="s">
        <v>2</v>
      </c>
      <c r="AH60" s="714" t="s">
        <v>2</v>
      </c>
      <c r="AI60" s="714" t="s">
        <v>2</v>
      </c>
      <c r="AJ60" s="714" t="s">
        <v>2</v>
      </c>
      <c r="AK60" s="714" t="s">
        <v>2</v>
      </c>
      <c r="AL60" s="714" t="s">
        <v>2</v>
      </c>
      <c r="AM60" s="714" t="s">
        <v>2</v>
      </c>
      <c r="AN60" s="714" t="s">
        <v>2</v>
      </c>
      <c r="AO60" s="714" t="s">
        <v>2</v>
      </c>
      <c r="AP60" s="714" t="s">
        <v>2</v>
      </c>
      <c r="AQ60" s="715" t="s">
        <v>2</v>
      </c>
      <c r="AR60" s="526"/>
      <c r="AY60" s="83"/>
      <c r="AZ60" s="212"/>
      <c r="BD60" s="1674" t="str">
        <f t="shared" si="100"/>
        <v>National rail (electricity)</v>
      </c>
      <c r="BE60" s="1675">
        <f t="shared" si="101"/>
        <v>45.741299999999995</v>
      </c>
      <c r="BF60" s="1676">
        <f t="shared" si="102"/>
        <v>52.368792792792789</v>
      </c>
      <c r="BG60" s="1677">
        <f t="shared" si="103"/>
        <v>55.125045045045042</v>
      </c>
      <c r="BH60" s="1676">
        <f t="shared" si="76"/>
        <v>55.11752252252252</v>
      </c>
      <c r="BI60" s="1678">
        <f t="shared" si="104"/>
        <v>55.11</v>
      </c>
      <c r="BK60" s="1674" t="str">
        <f t="shared" si="77"/>
        <v>National rail (electricity)</v>
      </c>
      <c r="BL60" s="1679">
        <f>K105</f>
        <v>0.33</v>
      </c>
      <c r="BM60" s="1680">
        <f>K245</f>
        <v>0.33009009009009005</v>
      </c>
      <c r="BN60" s="1681">
        <f>K385</f>
        <v>0.33009009009009005</v>
      </c>
      <c r="BO60" s="1680">
        <f t="shared" si="78"/>
        <v>0.33004504504504506</v>
      </c>
      <c r="BP60" s="1682">
        <f>K525</f>
        <v>0.33</v>
      </c>
      <c r="BR60" s="1762"/>
      <c r="BS60" s="1762"/>
      <c r="BT60" s="1762"/>
      <c r="BU60" s="1762"/>
      <c r="BV60" s="1762"/>
      <c r="BW60" s="1762"/>
      <c r="BX60" s="1763"/>
      <c r="BY60" s="1647"/>
      <c r="BZ60" s="1762"/>
      <c r="CA60" s="1764"/>
      <c r="CB60" s="1764"/>
      <c r="CC60" s="1764"/>
      <c r="CD60" s="1764"/>
      <c r="CE60" s="1764"/>
      <c r="CF60" s="1764"/>
    </row>
    <row r="61" spans="2:125" ht="16.5" thickBot="1" x14ac:dyDescent="0.3">
      <c r="B61" s="1914"/>
      <c r="C61" s="331" t="s">
        <v>15</v>
      </c>
      <c r="D61" s="698">
        <v>10002.18</v>
      </c>
      <c r="E61" s="1327">
        <f>D61/D141</f>
        <v>0.11535478515059107</v>
      </c>
      <c r="F61" s="1328">
        <f>((F62*I62)+(F63*I63)+(F64*I64))/(I62+I63+I64)</f>
        <v>20</v>
      </c>
      <c r="G61" s="1320">
        <f>H61/F61</f>
        <v>0.42165004898065372</v>
      </c>
      <c r="H61" s="1328">
        <f>((H62*I62)+(H63*I63)+(H64*I64))/(I62+I63+I64)</f>
        <v>8.4330009796130749</v>
      </c>
      <c r="I61" s="759">
        <f>D61/H61</f>
        <v>1186.0759917116627</v>
      </c>
      <c r="J61" s="795">
        <f>J63+J62+J64</f>
        <v>0.11531845946732053</v>
      </c>
      <c r="K61" s="1324">
        <f>L61/H61</f>
        <v>2.3961024595554452</v>
      </c>
      <c r="L61" s="1328">
        <f>((L62*I62)+(L63*I63)+(L64*I64))/(I62+I63+I64)</f>
        <v>20.206334388684368</v>
      </c>
      <c r="M61" s="759">
        <f>SUM(M62:M64)</f>
        <v>23967.446411321231</v>
      </c>
      <c r="N61" s="392">
        <f>M61/M141</f>
        <v>0.20152376058674271</v>
      </c>
      <c r="O61" s="667" t="s">
        <v>60</v>
      </c>
      <c r="P61" s="757">
        <f>SUM(P62+P63)</f>
        <v>23967.446411321231</v>
      </c>
      <c r="Q61" s="809">
        <f>SUM(Q62+Q63)</f>
        <v>1</v>
      </c>
      <c r="R61" s="757">
        <f>SUM(R62+R63)</f>
        <v>10002.18</v>
      </c>
      <c r="S61" s="795">
        <f>SUM(S62+S63)</f>
        <v>1</v>
      </c>
      <c r="T61" s="676">
        <f>32300+13202</f>
        <v>45502</v>
      </c>
      <c r="U61" s="668" t="s">
        <v>60</v>
      </c>
      <c r="V61" s="4"/>
      <c r="W61" s="532"/>
      <c r="X61" s="4"/>
      <c r="Y61" s="4"/>
      <c r="Z61" s="4"/>
      <c r="AA61" s="4"/>
      <c r="AB61" s="4"/>
      <c r="AC61" s="4"/>
      <c r="AD61" s="748">
        <f>SUM(AD62:AD72)</f>
        <v>23966.248098916283</v>
      </c>
      <c r="AE61" s="739"/>
      <c r="AF61" s="740"/>
      <c r="AG61" s="740"/>
      <c r="AH61" s="740"/>
      <c r="AI61" s="740"/>
      <c r="AJ61" s="717"/>
      <c r="AK61" s="717"/>
      <c r="AL61" s="717"/>
      <c r="AM61" s="717"/>
      <c r="AN61" s="717"/>
      <c r="AO61" s="717"/>
      <c r="AP61" s="717"/>
      <c r="AQ61" s="717"/>
      <c r="AR61" s="644">
        <f>SUM(AR62:AR72)</f>
        <v>45502</v>
      </c>
      <c r="AS61" s="32"/>
      <c r="AY61" s="8"/>
      <c r="AZ61" s="212"/>
      <c r="BD61" s="1695" t="str">
        <f>C109</f>
        <v>International rail (electricity)</v>
      </c>
      <c r="BE61" s="1696">
        <f>M109</f>
        <v>105.83999999999999</v>
      </c>
      <c r="BF61" s="1697">
        <f>M249</f>
        <v>132.86364669360691</v>
      </c>
      <c r="BG61" s="1698">
        <f>M389</f>
        <v>166.78711841197656</v>
      </c>
      <c r="BH61" s="1697">
        <f t="shared" si="76"/>
        <v>188.21503065597398</v>
      </c>
      <c r="BI61" s="1699">
        <f>M529</f>
        <v>209.64294289997142</v>
      </c>
      <c r="BK61" s="1695" t="str">
        <f t="shared" si="77"/>
        <v>International rail (electricity)</v>
      </c>
      <c r="BL61" s="1700">
        <f>K109</f>
        <v>0.27999999999999997</v>
      </c>
      <c r="BM61" s="1701">
        <f>K249</f>
        <v>0.27999999999999997</v>
      </c>
      <c r="BN61" s="1702">
        <f>K389</f>
        <v>0.27999999999999997</v>
      </c>
      <c r="BO61" s="1701">
        <f t="shared" si="78"/>
        <v>0.27999999999999997</v>
      </c>
      <c r="BP61" s="1703">
        <f>K529</f>
        <v>0.27999999999999997</v>
      </c>
      <c r="BR61" s="1762"/>
      <c r="BS61" s="1762"/>
      <c r="BT61" s="1762"/>
      <c r="BU61" s="1762"/>
      <c r="BV61" s="1762"/>
      <c r="BW61" s="1762"/>
      <c r="BX61" s="1763"/>
      <c r="BY61" s="1647"/>
      <c r="BZ61" s="1762"/>
      <c r="CA61" s="1762"/>
      <c r="CB61" s="1762"/>
      <c r="CC61" s="1762"/>
      <c r="CD61" s="1762"/>
      <c r="CE61" s="1762"/>
      <c r="CF61" s="1763"/>
    </row>
    <row r="62" spans="2:125" ht="15.75" customHeight="1" thickBot="1" x14ac:dyDescent="0.3">
      <c r="B62" s="1914"/>
      <c r="C62" s="330" t="s">
        <v>32</v>
      </c>
      <c r="D62" s="699">
        <f>D61*0.1212</f>
        <v>1212.264216</v>
      </c>
      <c r="E62" s="448">
        <f>D62/D141</f>
        <v>1.3980999960251638E-2</v>
      </c>
      <c r="F62" s="400">
        <v>20</v>
      </c>
      <c r="G62" s="881">
        <v>0.376</v>
      </c>
      <c r="H62" s="829">
        <f>G62*F62</f>
        <v>7.52</v>
      </c>
      <c r="I62" s="532">
        <f>D62/H62</f>
        <v>161.20534787234044</v>
      </c>
      <c r="J62" s="366">
        <f>I62/I141</f>
        <v>1.5672708201908074E-2</v>
      </c>
      <c r="K62" s="400">
        <f>L62/H62</f>
        <v>6.7021276595744679</v>
      </c>
      <c r="L62" s="430">
        <v>50.4</v>
      </c>
      <c r="M62" s="532">
        <f>D62*K62</f>
        <v>8124.7495327659572</v>
      </c>
      <c r="N62" s="547">
        <f>M62/M141</f>
        <v>6.8314748745822565E-2</v>
      </c>
      <c r="O62" s="380" t="s">
        <v>3</v>
      </c>
      <c r="P62" s="538">
        <f>Q62*M61</f>
        <v>23847.609179264626</v>
      </c>
      <c r="Q62" s="473">
        <f>1-Q63</f>
        <v>0.995</v>
      </c>
      <c r="R62" s="538">
        <f>S62*D61</f>
        <v>9958.1159842528905</v>
      </c>
      <c r="S62" s="661">
        <f>Q62*Z68/(Q62*Z68+Q63*Z65)</f>
        <v>0.99559455881146819</v>
      </c>
      <c r="T62" s="677">
        <f>S62*T61</f>
        <v>45301.543615039423</v>
      </c>
      <c r="U62" s="368" t="s">
        <v>418</v>
      </c>
      <c r="V62" s="294">
        <v>0</v>
      </c>
      <c r="W62" s="532"/>
      <c r="X62" s="411"/>
      <c r="Y62" s="347">
        <f>Y20</f>
        <v>0.5</v>
      </c>
      <c r="Z62" s="411"/>
      <c r="AA62" s="615">
        <f t="shared" ref="AA62:AA68" si="105">1/AB62</f>
        <v>0.1178319795739758</v>
      </c>
      <c r="AB62" s="616">
        <f>AB72*Y72/Y62</f>
        <v>8.486660443247434</v>
      </c>
      <c r="AC62" s="432">
        <f>AB62/H61</f>
        <v>1.0063630330132869</v>
      </c>
      <c r="AD62" s="748">
        <f>AC62*V62*D61</f>
        <v>0</v>
      </c>
      <c r="AE62" s="720"/>
      <c r="AF62" s="733"/>
      <c r="AG62" s="733"/>
      <c r="AH62" s="722">
        <f>AD62</f>
        <v>0</v>
      </c>
      <c r="AI62" s="733"/>
      <c r="AJ62" s="721"/>
      <c r="AK62" s="721"/>
      <c r="AL62" s="721"/>
      <c r="AM62" s="721"/>
      <c r="AN62" s="721"/>
      <c r="AO62" s="721"/>
      <c r="AP62" s="721"/>
      <c r="AR62" s="645">
        <f>V62*T61</f>
        <v>0</v>
      </c>
      <c r="AY62" s="8"/>
      <c r="BC62" s="48"/>
      <c r="BD62" s="1695" t="str">
        <f>C115</f>
        <v>National air</v>
      </c>
      <c r="BE62" s="1696">
        <f>M115</f>
        <v>11.9556</v>
      </c>
      <c r="BF62" s="1697">
        <f>M255</f>
        <v>10.922144582081184</v>
      </c>
      <c r="BG62" s="1698">
        <f>M395</f>
        <v>8.9241873309126838</v>
      </c>
      <c r="BH62" s="1697">
        <f t="shared" si="76"/>
        <v>7.4410229672329038</v>
      </c>
      <c r="BI62" s="1699">
        <f>M535</f>
        <v>5.9578586035531229</v>
      </c>
      <c r="BK62" s="1695" t="str">
        <f t="shared" si="77"/>
        <v>National air</v>
      </c>
      <c r="BL62" s="1700">
        <f>K115</f>
        <v>10.8</v>
      </c>
      <c r="BM62" s="1701">
        <f>K255</f>
        <v>9.8664359368393715</v>
      </c>
      <c r="BN62" s="1702">
        <f>K395</f>
        <v>8.061596504889506</v>
      </c>
      <c r="BO62" s="1701">
        <f t="shared" si="78"/>
        <v>6.7217912983133719</v>
      </c>
      <c r="BP62" s="1703">
        <f>K535</f>
        <v>5.3819860917372386</v>
      </c>
      <c r="BR62" s="1971" t="s">
        <v>502</v>
      </c>
      <c r="BS62" s="1972"/>
      <c r="BT62" s="1972"/>
      <c r="BU62" s="1972"/>
      <c r="BV62" s="1972"/>
      <c r="BW62" s="1972"/>
      <c r="BX62" s="1973"/>
      <c r="BY62" s="1647"/>
      <c r="BZ62" s="1971" t="s">
        <v>505</v>
      </c>
      <c r="CA62" s="1972"/>
      <c r="CB62" s="1972"/>
      <c r="CC62" s="1972"/>
      <c r="CD62" s="1972"/>
      <c r="CE62" s="1972"/>
      <c r="CF62" s="1973"/>
    </row>
    <row r="63" spans="2:125" ht="15.75" customHeight="1" thickBot="1" x14ac:dyDescent="0.3">
      <c r="B63" s="1914"/>
      <c r="C63" s="330" t="s">
        <v>33</v>
      </c>
      <c r="D63" s="699">
        <f>D61*0.454</f>
        <v>4540.9897200000005</v>
      </c>
      <c r="E63" s="448">
        <f>D63/D141</f>
        <v>5.2371072458368355E-2</v>
      </c>
      <c r="F63" s="400">
        <v>20</v>
      </c>
      <c r="G63" s="882">
        <v>0.42499999999999999</v>
      </c>
      <c r="H63" s="829">
        <f>G63*F63</f>
        <v>8.5</v>
      </c>
      <c r="I63" s="532">
        <f>D63/H63</f>
        <v>534.23408470588242</v>
      </c>
      <c r="J63" s="366">
        <f>I63/I141</f>
        <v>5.1939312383974291E-2</v>
      </c>
      <c r="K63" s="400">
        <f>L63/H63</f>
        <v>2.4903529411764707</v>
      </c>
      <c r="L63" s="433">
        <v>21.167999999999999</v>
      </c>
      <c r="M63" s="532">
        <f>D63*K63</f>
        <v>11308.667105054119</v>
      </c>
      <c r="N63" s="547">
        <f>M63/M141</f>
        <v>9.5085854501279293E-2</v>
      </c>
      <c r="O63" s="915" t="s">
        <v>74</v>
      </c>
      <c r="P63" s="912">
        <f>Q63*M61</f>
        <v>119.83723205660615</v>
      </c>
      <c r="Q63" s="913">
        <v>5.0000000000000001E-3</v>
      </c>
      <c r="R63" s="912">
        <f>S63*D61</f>
        <v>44.06401574710894</v>
      </c>
      <c r="S63" s="914">
        <f>Q63*Z65/(Q62*Z68+Q63*Z65)</f>
        <v>4.4054411885317939E-3</v>
      </c>
      <c r="T63" s="677">
        <f>S63*T61</f>
        <v>200.45638496057367</v>
      </c>
      <c r="U63" s="368" t="s">
        <v>85</v>
      </c>
      <c r="V63" s="375">
        <v>0</v>
      </c>
      <c r="W63" s="532"/>
      <c r="X63" s="411"/>
      <c r="Y63" s="608">
        <v>0.16</v>
      </c>
      <c r="Z63" s="411"/>
      <c r="AA63" s="615">
        <f t="shared" si="105"/>
        <v>3.7706233463672259E-2</v>
      </c>
      <c r="AB63" s="61">
        <f>AB72*Y72/Y63</f>
        <v>26.520813885148229</v>
      </c>
      <c r="AC63" s="432">
        <f>AB63/H61</f>
        <v>3.1448844781665213</v>
      </c>
      <c r="AD63" s="748">
        <f>AC63*V63*D61</f>
        <v>0</v>
      </c>
      <c r="AE63" s="720"/>
      <c r="AF63" s="733"/>
      <c r="AG63" s="733"/>
      <c r="AH63" s="892"/>
      <c r="AI63" s="733"/>
      <c r="AJ63" s="741"/>
      <c r="AK63" s="741"/>
      <c r="AL63" s="722">
        <f>AD63</f>
        <v>0</v>
      </c>
      <c r="AM63" s="721"/>
      <c r="AN63" s="721"/>
      <c r="AO63" s="721"/>
      <c r="AP63" s="721"/>
      <c r="AQ63" s="721"/>
      <c r="AR63" s="645">
        <f>V63*T61</f>
        <v>0</v>
      </c>
      <c r="AY63" s="8"/>
      <c r="BD63" s="1695" t="str">
        <f>C119</f>
        <v>International air</v>
      </c>
      <c r="BE63" s="1696">
        <f>M119</f>
        <v>6350.4000000000005</v>
      </c>
      <c r="BF63" s="1697">
        <f>M259</f>
        <v>7282.7258802074048</v>
      </c>
      <c r="BG63" s="1698">
        <f>M399</f>
        <v>7469.8358380587924</v>
      </c>
      <c r="BH63" s="1697">
        <f t="shared" si="76"/>
        <v>6869.0718160252582</v>
      </c>
      <c r="BI63" s="1699">
        <f>M539</f>
        <v>6268.3077939917239</v>
      </c>
      <c r="BK63" s="1695" t="str">
        <f t="shared" si="77"/>
        <v>International air</v>
      </c>
      <c r="BL63" s="1700">
        <f>K119</f>
        <v>10.8</v>
      </c>
      <c r="BM63" s="1701">
        <f>K259</f>
        <v>9.8664359368393715</v>
      </c>
      <c r="BN63" s="1702">
        <f>K399</f>
        <v>8.061596504889506</v>
      </c>
      <c r="BO63" s="1701">
        <f t="shared" si="78"/>
        <v>6.7217912983133719</v>
      </c>
      <c r="BP63" s="1703">
        <f>K539</f>
        <v>5.3819860917372386</v>
      </c>
      <c r="BR63" s="1755" t="s">
        <v>454</v>
      </c>
      <c r="BS63" s="1756" t="str">
        <f>AE59</f>
        <v>Petrol</v>
      </c>
      <c r="BT63" s="1756" t="str">
        <f>AF59</f>
        <v>Diesel</v>
      </c>
      <c r="BU63" s="1756" t="str">
        <f>AG59</f>
        <v xml:space="preserve">Jet fuel </v>
      </c>
      <c r="BV63" s="1756" t="str">
        <f>AJ59</f>
        <v>Bioethanol</v>
      </c>
      <c r="BW63" s="1756" t="str">
        <f>AK59</f>
        <v>Biodiesel</v>
      </c>
      <c r="BX63" s="1717" t="str">
        <f>BX54</f>
        <v>Electricity (Train)</v>
      </c>
      <c r="BZ63" s="1755" t="s">
        <v>454</v>
      </c>
      <c r="CA63" s="1756" t="str">
        <f>BS63</f>
        <v>Petrol</v>
      </c>
      <c r="CB63" s="1756" t="str">
        <f t="shared" ref="CB63:CF63" si="106">BT63</f>
        <v>Diesel</v>
      </c>
      <c r="CC63" s="1756" t="str">
        <f t="shared" si="106"/>
        <v xml:space="preserve">Jet fuel </v>
      </c>
      <c r="CD63" s="1756" t="str">
        <f t="shared" si="106"/>
        <v>Bioethanol</v>
      </c>
      <c r="CE63" s="1756" t="str">
        <f t="shared" si="106"/>
        <v>Biodiesel</v>
      </c>
      <c r="CF63" s="1717" t="str">
        <f t="shared" si="106"/>
        <v>Electricity (Train)</v>
      </c>
    </row>
    <row r="64" spans="2:125" ht="15.75" customHeight="1" thickBot="1" x14ac:dyDescent="0.3">
      <c r="B64" s="1915"/>
      <c r="C64" s="330" t="s">
        <v>34</v>
      </c>
      <c r="D64" s="699">
        <f>D61*0.42485</f>
        <v>4249.4261729999998</v>
      </c>
      <c r="E64" s="448">
        <f>D64/D141</f>
        <v>4.9008480471228612E-2</v>
      </c>
      <c r="F64" s="400">
        <v>20</v>
      </c>
      <c r="G64" s="883">
        <v>0.433</v>
      </c>
      <c r="H64" s="829">
        <f>G64*F64</f>
        <v>8.66</v>
      </c>
      <c r="I64" s="532">
        <f>D64/H64</f>
        <v>490.69586293302535</v>
      </c>
      <c r="J64" s="366">
        <f>I64/I141</f>
        <v>4.7706438881438155E-2</v>
      </c>
      <c r="K64" s="400">
        <f>L64/H64</f>
        <v>1.0669745958429562</v>
      </c>
      <c r="L64" s="434">
        <v>9.24</v>
      </c>
      <c r="M64" s="532">
        <f>D64*K64</f>
        <v>4534.0297735011545</v>
      </c>
      <c r="N64" s="547">
        <f>M64/M141</f>
        <v>3.8123157339640862E-2</v>
      </c>
      <c r="O64" s="659"/>
      <c r="P64" s="758"/>
      <c r="Q64" s="810"/>
      <c r="R64" s="758"/>
      <c r="S64" s="796"/>
      <c r="T64" s="756"/>
      <c r="U64" s="368" t="s">
        <v>101</v>
      </c>
      <c r="V64" s="375">
        <v>0</v>
      </c>
      <c r="W64" s="532"/>
      <c r="X64" s="411"/>
      <c r="Y64" s="347">
        <f>Y63*(Y15/Y14)</f>
        <v>0.22174156853320523</v>
      </c>
      <c r="Z64" s="411"/>
      <c r="AA64" s="615">
        <f t="shared" si="105"/>
        <v>5.2256495948211981E-2</v>
      </c>
      <c r="AB64" s="61">
        <f>AB72*Y72/Y64</f>
        <v>19.13637686290782</v>
      </c>
      <c r="AC64" s="432">
        <f>AB64/H61</f>
        <v>2.2692250254885944</v>
      </c>
      <c r="AD64" s="748">
        <f>AC64*V64*D61</f>
        <v>0</v>
      </c>
      <c r="AE64" s="720"/>
      <c r="AF64" s="733"/>
      <c r="AG64" s="733"/>
      <c r="AH64" s="892"/>
      <c r="AI64" s="733"/>
      <c r="AJ64" s="741"/>
      <c r="AK64" s="741"/>
      <c r="AL64" s="722">
        <f>AD64</f>
        <v>0</v>
      </c>
      <c r="AM64" s="721"/>
      <c r="AN64" s="721"/>
      <c r="AO64" s="721"/>
      <c r="AP64" s="721"/>
      <c r="AQ64" s="721"/>
      <c r="AR64" s="645">
        <f>V64*T61</f>
        <v>0</v>
      </c>
      <c r="AY64" s="8"/>
      <c r="BD64" s="1695" t="str">
        <f>C123</f>
        <v>National sea</v>
      </c>
      <c r="BE64" s="1696">
        <f>M123</f>
        <v>469.88</v>
      </c>
      <c r="BF64" s="1697">
        <f>M263</f>
        <v>479.50473654922166</v>
      </c>
      <c r="BG64" s="1698">
        <f>M403</f>
        <v>476.65931030863561</v>
      </c>
      <c r="BH64" s="1697">
        <f t="shared" si="76"/>
        <v>480.16799360056802</v>
      </c>
      <c r="BI64" s="1699">
        <f>M543</f>
        <v>483.67667689250044</v>
      </c>
      <c r="BK64" s="1695" t="str">
        <f t="shared" si="77"/>
        <v>National sea</v>
      </c>
      <c r="BL64" s="1700">
        <f>K123</f>
        <v>0.22666666666666666</v>
      </c>
      <c r="BM64" s="1701">
        <f>K263</f>
        <v>0.21044100471692193</v>
      </c>
      <c r="BN64" s="1702">
        <f>K403</f>
        <v>0.1903190725128274</v>
      </c>
      <c r="BO64" s="1701">
        <f t="shared" si="78"/>
        <v>0.18298876829527017</v>
      </c>
      <c r="BP64" s="1703">
        <f>K543</f>
        <v>0.17565846407771291</v>
      </c>
      <c r="BR64" s="1755">
        <v>2010</v>
      </c>
      <c r="BS64" s="1756">
        <f>AE141</f>
        <v>5679.1</v>
      </c>
      <c r="BT64" s="1756">
        <f>AF141</f>
        <v>105253.43957362491</v>
      </c>
      <c r="BU64" s="1756">
        <f>AG141</f>
        <v>7441.3556000000008</v>
      </c>
      <c r="BV64" s="1756">
        <f>AJ141</f>
        <v>0</v>
      </c>
      <c r="BW64" s="1756">
        <f>AK141</f>
        <v>404.44450997406625</v>
      </c>
      <c r="BX64" s="1717">
        <f>AP141</f>
        <v>151.5813</v>
      </c>
      <c r="BZ64" s="1755">
        <v>2010</v>
      </c>
      <c r="CA64" s="1756">
        <f>BS64/1000</f>
        <v>5.6791</v>
      </c>
      <c r="CB64" s="1756">
        <f t="shared" ref="CB64:CF68" si="107">BT64/1000</f>
        <v>105.25343957362492</v>
      </c>
      <c r="CC64" s="1756">
        <f t="shared" si="107"/>
        <v>7.4413556000000005</v>
      </c>
      <c r="CD64" s="1756">
        <f t="shared" si="107"/>
        <v>0</v>
      </c>
      <c r="CE64" s="1756">
        <f t="shared" si="107"/>
        <v>0.40444450997406622</v>
      </c>
      <c r="CF64" s="1717">
        <f t="shared" si="107"/>
        <v>0.1515813</v>
      </c>
      <c r="CG64" s="1732"/>
      <c r="CH64" s="1757"/>
    </row>
    <row r="65" spans="3:86" ht="15.75" customHeight="1" thickBot="1" x14ac:dyDescent="0.3">
      <c r="C65" s="330"/>
      <c r="D65" s="699"/>
      <c r="E65" s="448"/>
      <c r="F65" s="400"/>
      <c r="G65" s="362"/>
      <c r="H65" s="829"/>
      <c r="I65" s="532"/>
      <c r="J65" s="374"/>
      <c r="K65" s="400"/>
      <c r="L65" s="432"/>
      <c r="M65" s="532"/>
      <c r="N65" s="547"/>
      <c r="O65" s="659"/>
      <c r="P65" s="758"/>
      <c r="Q65" s="810"/>
      <c r="R65" s="758"/>
      <c r="S65" s="796"/>
      <c r="T65" s="756"/>
      <c r="U65" s="368" t="s">
        <v>422</v>
      </c>
      <c r="V65" s="375">
        <v>0</v>
      </c>
      <c r="W65" s="694"/>
      <c r="X65" s="411"/>
      <c r="Y65" s="347">
        <f>Y72</f>
        <v>0.21</v>
      </c>
      <c r="Z65" s="61">
        <f>1/((AB65/37600)/0.84*1000)</f>
        <v>1.5630742020030695</v>
      </c>
      <c r="AA65" s="615">
        <f t="shared" si="105"/>
        <v>4.9489431421069832E-2</v>
      </c>
      <c r="AB65" s="61">
        <f>AB72</f>
        <v>20.206334388684368</v>
      </c>
      <c r="AC65" s="432">
        <f>AB65/H61</f>
        <v>2.3961024595554452</v>
      </c>
      <c r="AD65" s="748">
        <f>AC65*V65*D61</f>
        <v>0</v>
      </c>
      <c r="AE65" s="720"/>
      <c r="AF65" s="733"/>
      <c r="AG65" s="733"/>
      <c r="AH65" s="892"/>
      <c r="AI65" s="722">
        <f>+AD65</f>
        <v>0</v>
      </c>
      <c r="AJ65" s="721"/>
      <c r="AK65" s="721"/>
      <c r="AL65" s="721"/>
      <c r="AM65" s="721"/>
      <c r="AN65" s="721"/>
      <c r="AO65" s="721"/>
      <c r="AP65" s="721"/>
      <c r="AQ65" s="721"/>
      <c r="AR65" s="645">
        <f>V65*T61</f>
        <v>0</v>
      </c>
      <c r="AY65" s="8"/>
      <c r="BD65" s="1695" t="str">
        <f>C128</f>
        <v>International sea</v>
      </c>
      <c r="BE65" s="1765">
        <f>M128</f>
        <v>3240.5314285714285</v>
      </c>
      <c r="BF65" s="1766">
        <f>M268</f>
        <v>3776.7243086831509</v>
      </c>
      <c r="BG65" s="1767">
        <f>M408</f>
        <v>4287.6918595976122</v>
      </c>
      <c r="BH65" s="1766">
        <f t="shared" si="76"/>
        <v>4630.9736138317676</v>
      </c>
      <c r="BI65" s="1768">
        <f>M548</f>
        <v>4974.2553680659221</v>
      </c>
      <c r="BK65" s="1769" t="str">
        <f t="shared" si="77"/>
        <v>International sea</v>
      </c>
      <c r="BL65" s="1770">
        <f>K128</f>
        <v>5.4285714285714284E-2</v>
      </c>
      <c r="BM65" s="1771">
        <f>K268</f>
        <v>5.0399736423800627E-2</v>
      </c>
      <c r="BN65" s="1772">
        <f>K408</f>
        <v>4.5580618206853621E-2</v>
      </c>
      <c r="BO65" s="1771">
        <f t="shared" si="78"/>
        <v>4.3825041146346215E-2</v>
      </c>
      <c r="BP65" s="1773">
        <f>K548</f>
        <v>4.2069464085838809E-2</v>
      </c>
      <c r="BR65" s="1755">
        <v>2020</v>
      </c>
      <c r="BS65" s="1756">
        <f>AE281</f>
        <v>1298.7631807718619</v>
      </c>
      <c r="BT65" s="1756">
        <f>AF281</f>
        <v>107506.11255614</v>
      </c>
      <c r="BU65" s="1756">
        <f>AG281</f>
        <v>8269.476283723985</v>
      </c>
      <c r="BV65" s="1756">
        <f>AJ281</f>
        <v>1252.7504674913846</v>
      </c>
      <c r="BW65" s="1756">
        <f>AK281</f>
        <v>3651.1121371517393</v>
      </c>
      <c r="BX65" s="1717">
        <f>AP281</f>
        <v>185.2324394863997</v>
      </c>
      <c r="BZ65" s="1755">
        <v>2020</v>
      </c>
      <c r="CA65" s="1756">
        <f t="shared" ref="CA65:CA68" si="108">BS65/1000</f>
        <v>1.298763180771862</v>
      </c>
      <c r="CB65" s="1756">
        <f t="shared" si="107"/>
        <v>107.50611255614</v>
      </c>
      <c r="CC65" s="1756">
        <f t="shared" si="107"/>
        <v>8.2694762837239857</v>
      </c>
      <c r="CD65" s="1756">
        <f t="shared" si="107"/>
        <v>1.2527504674913845</v>
      </c>
      <c r="CE65" s="1756">
        <f t="shared" si="107"/>
        <v>3.6511121371517392</v>
      </c>
      <c r="CF65" s="1717">
        <f t="shared" si="107"/>
        <v>0.1852324394863997</v>
      </c>
      <c r="CG65" s="1732"/>
      <c r="CH65" s="1757"/>
    </row>
    <row r="66" spans="3:86" ht="15.75" customHeight="1" thickBot="1" x14ac:dyDescent="0.3">
      <c r="C66" s="330"/>
      <c r="D66" s="699"/>
      <c r="E66" s="448"/>
      <c r="F66" s="400"/>
      <c r="G66" s="362"/>
      <c r="H66" s="829"/>
      <c r="I66" s="532"/>
      <c r="J66" s="374"/>
      <c r="K66" s="400"/>
      <c r="L66" s="432"/>
      <c r="M66" s="532"/>
      <c r="N66" s="547"/>
      <c r="O66" s="660"/>
      <c r="P66" s="538"/>
      <c r="Q66" s="473"/>
      <c r="R66" s="538"/>
      <c r="S66" s="661"/>
      <c r="T66" s="525"/>
      <c r="U66" s="368" t="s">
        <v>423</v>
      </c>
      <c r="V66" s="375">
        <v>0</v>
      </c>
      <c r="W66" s="694"/>
      <c r="X66" s="411"/>
      <c r="Y66" s="347">
        <f>Y65*((Y15/Y14))</f>
        <v>0.29103580869983181</v>
      </c>
      <c r="Z66" s="61">
        <f>1/((AB66/37600)/0.84*1000)</f>
        <v>2.1662407830371788</v>
      </c>
      <c r="AA66" s="615">
        <f t="shared" si="105"/>
        <v>6.8586650932028217E-2</v>
      </c>
      <c r="AB66" s="61">
        <f>AB72*Y72/Y66</f>
        <v>14.580096657453579</v>
      </c>
      <c r="AC66" s="432">
        <f>AB66/H61</f>
        <v>1.7289333527532149</v>
      </c>
      <c r="AD66" s="748">
        <f>AC66*V66*D61</f>
        <v>0</v>
      </c>
      <c r="AE66" s="720"/>
      <c r="AF66" s="733"/>
      <c r="AG66" s="733"/>
      <c r="AH66" s="892"/>
      <c r="AI66" s="722">
        <f>+AD66</f>
        <v>0</v>
      </c>
      <c r="AJ66" s="721"/>
      <c r="AK66" s="721"/>
      <c r="AL66" s="721"/>
      <c r="AM66" s="721"/>
      <c r="AN66" s="721"/>
      <c r="AO66" s="721"/>
      <c r="AP66" s="721"/>
      <c r="AQ66" s="721"/>
      <c r="AR66" s="645">
        <f>V66*T61</f>
        <v>0</v>
      </c>
      <c r="BD66" s="1769" t="str">
        <f>C133</f>
        <v>Other</v>
      </c>
      <c r="BE66" s="1774">
        <f>M133</f>
        <v>27795.15789473684</v>
      </c>
      <c r="BF66" s="1775">
        <f>M273</f>
        <v>25137.44257203945</v>
      </c>
      <c r="BG66" s="1776">
        <f>M413</f>
        <v>20560.088673123035</v>
      </c>
      <c r="BH66" s="1775">
        <f t="shared" si="76"/>
        <v>17157.103674565355</v>
      </c>
      <c r="BI66" s="1777">
        <f>M553</f>
        <v>13754.118676007678</v>
      </c>
      <c r="BK66" s="956"/>
      <c r="BL66" s="956"/>
      <c r="BM66" s="956"/>
      <c r="BN66" s="956"/>
      <c r="BO66" s="956"/>
      <c r="BP66" s="956"/>
      <c r="BR66" s="1755">
        <v>2030</v>
      </c>
      <c r="BS66" s="1756">
        <f>AE421</f>
        <v>1395.099593779214</v>
      </c>
      <c r="BT66" s="1756">
        <f>AF421</f>
        <v>107177.01111063053</v>
      </c>
      <c r="BU66" s="1756">
        <f>AG421</f>
        <v>8276.8967282756603</v>
      </c>
      <c r="BV66" s="1756">
        <f>AJ421</f>
        <v>1345.6738643185715</v>
      </c>
      <c r="BW66" s="1756">
        <f>AK421</f>
        <v>3781.7891966313691</v>
      </c>
      <c r="BX66" s="1717">
        <f>AP421</f>
        <v>221.91216345702162</v>
      </c>
      <c r="BZ66" s="1755">
        <v>2030</v>
      </c>
      <c r="CA66" s="1756">
        <f t="shared" si="108"/>
        <v>1.3950995937792141</v>
      </c>
      <c r="CB66" s="1756">
        <f t="shared" si="107"/>
        <v>107.17701111063053</v>
      </c>
      <c r="CC66" s="1756">
        <f t="shared" si="107"/>
        <v>8.2768967282756609</v>
      </c>
      <c r="CD66" s="1756">
        <f t="shared" si="107"/>
        <v>1.3456738643185715</v>
      </c>
      <c r="CE66" s="1756">
        <f t="shared" si="107"/>
        <v>3.7817891966313693</v>
      </c>
      <c r="CF66" s="1717">
        <f t="shared" si="107"/>
        <v>0.22191216345702161</v>
      </c>
      <c r="CG66" s="1732"/>
      <c r="CH66" s="1757"/>
    </row>
    <row r="67" spans="3:86" ht="15.75" customHeight="1" thickBot="1" x14ac:dyDescent="0.3">
      <c r="C67" s="330"/>
      <c r="D67" s="699"/>
      <c r="E67" s="448"/>
      <c r="F67" s="400"/>
      <c r="G67" s="362"/>
      <c r="H67" s="829"/>
      <c r="I67" s="532"/>
      <c r="J67" s="374"/>
      <c r="K67" s="400"/>
      <c r="L67" s="432"/>
      <c r="M67" s="532"/>
      <c r="N67" s="547"/>
      <c r="O67" s="660"/>
      <c r="P67" s="538"/>
      <c r="Q67" s="473"/>
      <c r="R67" s="538"/>
      <c r="S67" s="661"/>
      <c r="T67" s="525"/>
      <c r="U67" s="669" t="s">
        <v>72</v>
      </c>
      <c r="V67" s="375">
        <v>0</v>
      </c>
      <c r="W67" s="694">
        <f>AB67*74</f>
        <v>1078.9271526515649</v>
      </c>
      <c r="X67" s="411"/>
      <c r="Y67" s="347">
        <f>Y66</f>
        <v>0.29103580869983181</v>
      </c>
      <c r="Z67" s="61">
        <f>1/((AB67/42700)/0.84*1000)</f>
        <v>2.460065995629988</v>
      </c>
      <c r="AA67" s="615">
        <f t="shared" si="105"/>
        <v>6.8586650932028217E-2</v>
      </c>
      <c r="AB67" s="61">
        <f>AB66</f>
        <v>14.580096657453579</v>
      </c>
      <c r="AC67" s="432">
        <f>AB67/H61</f>
        <v>1.7289333527532149</v>
      </c>
      <c r="AD67" s="748">
        <f>AC67*V67*D61</f>
        <v>0</v>
      </c>
      <c r="AE67" s="720"/>
      <c r="AF67" s="722">
        <f>AD67</f>
        <v>0</v>
      </c>
      <c r="AG67" s="733"/>
      <c r="AH67" s="892"/>
      <c r="AI67" s="733"/>
      <c r="AJ67" s="721"/>
      <c r="AK67" s="721"/>
      <c r="AL67" s="721"/>
      <c r="AM67" s="721"/>
      <c r="AN67" s="721"/>
      <c r="AO67" s="721"/>
      <c r="AP67" s="721"/>
      <c r="AQ67" s="721"/>
      <c r="AR67" s="645">
        <f>V67*T61</f>
        <v>0</v>
      </c>
      <c r="AY67" s="73"/>
      <c r="BD67" s="1727" t="str">
        <f>C141</f>
        <v>Total</v>
      </c>
      <c r="BE67" s="1774">
        <f>M141</f>
        <v>118931.11929600392</v>
      </c>
      <c r="BF67" s="1775">
        <f>M281</f>
        <v>122163.44706476537</v>
      </c>
      <c r="BG67" s="1776">
        <f>M421</f>
        <v>122198.38265709236</v>
      </c>
      <c r="BH67" s="1775">
        <f t="shared" si="76"/>
        <v>122993.58719282868</v>
      </c>
      <c r="BI67" s="1777">
        <f>M561</f>
        <v>123788.79172856499</v>
      </c>
      <c r="BK67" s="956"/>
      <c r="BL67" s="956"/>
      <c r="BM67" s="956"/>
      <c r="BN67" s="956"/>
      <c r="BO67" s="956"/>
      <c r="BP67" s="956"/>
      <c r="BR67" s="1755">
        <v>2040</v>
      </c>
      <c r="BS67" s="1756">
        <f>AVERAGE(BS66,BS68)</f>
        <v>1498.8312618884274</v>
      </c>
      <c r="BT67" s="1756">
        <f t="shared" ref="BT67:BX67" si="109">AVERAGE(BT66,BT68)</f>
        <v>108326.56068064904</v>
      </c>
      <c r="BU67" s="1756">
        <f t="shared" si="109"/>
        <v>7542.5466472897806</v>
      </c>
      <c r="BV67" s="1756">
        <f t="shared" si="109"/>
        <v>1445.7305164021705</v>
      </c>
      <c r="BW67" s="1756">
        <f t="shared" si="109"/>
        <v>3936.5855334207799</v>
      </c>
      <c r="BX67" s="1717">
        <f t="shared" si="109"/>
        <v>243.33255317849651</v>
      </c>
      <c r="BZ67" s="1755">
        <v>2040</v>
      </c>
      <c r="CA67" s="1756">
        <f t="shared" si="108"/>
        <v>1.4988312618884274</v>
      </c>
      <c r="CB67" s="1756">
        <f t="shared" si="107"/>
        <v>108.32656068064904</v>
      </c>
      <c r="CC67" s="1756">
        <f t="shared" si="107"/>
        <v>7.5425466472897806</v>
      </c>
      <c r="CD67" s="1756">
        <f t="shared" si="107"/>
        <v>1.4457305164021705</v>
      </c>
      <c r="CE67" s="1756">
        <f t="shared" si="107"/>
        <v>3.93658553342078</v>
      </c>
      <c r="CF67" s="1717">
        <f t="shared" si="107"/>
        <v>0.2433325531784965</v>
      </c>
      <c r="CG67" s="1732"/>
      <c r="CH67" s="1757"/>
    </row>
    <row r="68" spans="3:86" ht="15.75" customHeight="1" thickBot="1" x14ac:dyDescent="0.3">
      <c r="C68" s="330"/>
      <c r="D68" s="699"/>
      <c r="E68" s="448"/>
      <c r="F68" s="400"/>
      <c r="G68" s="362"/>
      <c r="H68" s="829"/>
      <c r="I68" s="532"/>
      <c r="J68" s="374"/>
      <c r="K68" s="400"/>
      <c r="L68" s="432"/>
      <c r="M68" s="532"/>
      <c r="N68" s="547"/>
      <c r="O68" s="660"/>
      <c r="P68" s="538"/>
      <c r="Q68" s="473"/>
      <c r="R68" s="538"/>
      <c r="S68" s="661"/>
      <c r="T68" s="525"/>
      <c r="U68" s="368" t="s">
        <v>87</v>
      </c>
      <c r="V68" s="375">
        <v>0</v>
      </c>
      <c r="W68" s="694">
        <f>AB68*74</f>
        <v>1495.2687447626433</v>
      </c>
      <c r="X68" s="411"/>
      <c r="Y68" s="347">
        <f>Y72</f>
        <v>0.21</v>
      </c>
      <c r="Z68" s="61">
        <f>1/((AB68/42700)/0.84*1000)</f>
        <v>1.7750869262109326</v>
      </c>
      <c r="AA68" s="615">
        <f t="shared" si="105"/>
        <v>4.9489431421069832E-2</v>
      </c>
      <c r="AB68" s="61">
        <f>AB72</f>
        <v>20.206334388684368</v>
      </c>
      <c r="AC68" s="411">
        <f>AB68/H61</f>
        <v>2.3961024595554452</v>
      </c>
      <c r="AD68" s="748">
        <f>AC68*V68*D61</f>
        <v>0</v>
      </c>
      <c r="AE68" s="720"/>
      <c r="AF68" s="722">
        <f>AD68</f>
        <v>0</v>
      </c>
      <c r="AG68" s="733"/>
      <c r="AH68" s="733"/>
      <c r="AI68" s="733"/>
      <c r="AJ68" s="721"/>
      <c r="AK68" s="721"/>
      <c r="AL68" s="721"/>
      <c r="AM68" s="721"/>
      <c r="AN68" s="721"/>
      <c r="AO68" s="721"/>
      <c r="AP68" s="721"/>
      <c r="AQ68" s="721"/>
      <c r="AR68" s="645">
        <f>V68*T61</f>
        <v>0</v>
      </c>
      <c r="AY68" s="956"/>
      <c r="BA68" s="73"/>
      <c r="BB68" s="73"/>
      <c r="BC68" s="73"/>
      <c r="BD68" s="956"/>
      <c r="BE68" s="956"/>
      <c r="BF68" s="956"/>
      <c r="BG68" s="956"/>
      <c r="BH68" s="956"/>
      <c r="BI68" s="956"/>
      <c r="BJ68" s="956"/>
      <c r="BK68" s="956"/>
      <c r="BL68" s="956"/>
      <c r="BM68" s="956"/>
      <c r="BN68" s="956"/>
      <c r="BO68" s="956"/>
      <c r="BP68" s="956"/>
      <c r="BQ68" s="956"/>
      <c r="BR68" s="1758">
        <v>2050</v>
      </c>
      <c r="BS68" s="1759">
        <f>AE561</f>
        <v>1602.562929997641</v>
      </c>
      <c r="BT68" s="1759">
        <f>AF561</f>
        <v>109476.11025066754</v>
      </c>
      <c r="BU68" s="1759">
        <f>AG561</f>
        <v>6808.1965663039</v>
      </c>
      <c r="BV68" s="1759">
        <f>AJ561</f>
        <v>1545.7871684857694</v>
      </c>
      <c r="BW68" s="1759">
        <f>AK561</f>
        <v>4091.3818702101908</v>
      </c>
      <c r="BX68" s="1760">
        <f>AP561</f>
        <v>264.7529428999714</v>
      </c>
      <c r="BZ68" s="1758">
        <v>2050</v>
      </c>
      <c r="CA68" s="1759">
        <f t="shared" si="108"/>
        <v>1.6025629299976409</v>
      </c>
      <c r="CB68" s="1759">
        <f t="shared" si="107"/>
        <v>109.47611025066753</v>
      </c>
      <c r="CC68" s="1759">
        <f t="shared" si="107"/>
        <v>6.8081965663039004</v>
      </c>
      <c r="CD68" s="1759">
        <f t="shared" si="107"/>
        <v>1.5457871684857694</v>
      </c>
      <c r="CE68" s="1759">
        <f t="shared" si="107"/>
        <v>4.0913818702101912</v>
      </c>
      <c r="CF68" s="1760">
        <f t="shared" si="107"/>
        <v>0.26475294289997142</v>
      </c>
      <c r="CG68" s="1732"/>
      <c r="CH68" s="1761"/>
    </row>
    <row r="69" spans="3:86" ht="15.75" customHeight="1" x14ac:dyDescent="0.25">
      <c r="C69" s="330"/>
      <c r="D69" s="699"/>
      <c r="E69" s="448"/>
      <c r="F69" s="400"/>
      <c r="G69" s="362"/>
      <c r="H69" s="829"/>
      <c r="I69" s="532"/>
      <c r="J69" s="374"/>
      <c r="K69" s="400"/>
      <c r="L69" s="432"/>
      <c r="M69" s="532"/>
      <c r="N69" s="547"/>
      <c r="O69" s="660"/>
      <c r="P69" s="538"/>
      <c r="Q69" s="473"/>
      <c r="R69" s="538"/>
      <c r="S69" s="661"/>
      <c r="T69" s="525"/>
      <c r="U69" s="368" t="s">
        <v>483</v>
      </c>
      <c r="V69" s="375">
        <v>0</v>
      </c>
      <c r="W69" s="694"/>
      <c r="X69" s="411"/>
      <c r="Y69" s="347">
        <f>Y68</f>
        <v>0.21</v>
      </c>
      <c r="Z69" s="61">
        <f t="shared" ref="Z69:AC69" si="110">Z68</f>
        <v>1.7750869262109326</v>
      </c>
      <c r="AA69" s="615">
        <f t="shared" si="110"/>
        <v>4.9489431421069832E-2</v>
      </c>
      <c r="AB69" s="61">
        <f t="shared" si="110"/>
        <v>20.206334388684368</v>
      </c>
      <c r="AC69" s="411">
        <f t="shared" si="110"/>
        <v>2.3961024595554452</v>
      </c>
      <c r="AD69" s="748">
        <f>AC69*V69*D61</f>
        <v>0</v>
      </c>
      <c r="AE69" s="720"/>
      <c r="AF69" s="741"/>
      <c r="AG69" s="733"/>
      <c r="AH69" s="733"/>
      <c r="AI69" s="733"/>
      <c r="AJ69" s="721"/>
      <c r="AK69" s="738">
        <f>AD69</f>
        <v>0</v>
      </c>
      <c r="AL69" s="721"/>
      <c r="AM69" s="721"/>
      <c r="AN69" s="721"/>
      <c r="AO69" s="721"/>
      <c r="AP69" s="721"/>
      <c r="AQ69" s="721"/>
      <c r="AR69" s="645">
        <f>V69*T61</f>
        <v>0</v>
      </c>
      <c r="AY69" s="896"/>
      <c r="BA69" s="956"/>
      <c r="BB69" s="956"/>
      <c r="BC69" s="956"/>
      <c r="BD69" s="956"/>
      <c r="BE69" s="956"/>
      <c r="BF69" s="956"/>
      <c r="BG69" s="956"/>
      <c r="BH69" s="956"/>
      <c r="BI69" s="956"/>
      <c r="BJ69" s="956"/>
      <c r="BQ69" s="956"/>
      <c r="BX69" s="1647"/>
      <c r="BY69" s="1647"/>
      <c r="BZ69" s="956"/>
    </row>
    <row r="70" spans="3:86" ht="15.75" customHeight="1" thickBot="1" x14ac:dyDescent="0.3">
      <c r="C70" s="330"/>
      <c r="D70" s="699"/>
      <c r="E70" s="448"/>
      <c r="F70" s="400"/>
      <c r="G70" s="362"/>
      <c r="H70" s="829"/>
      <c r="I70" s="532"/>
      <c r="J70" s="374"/>
      <c r="K70" s="400"/>
      <c r="L70" s="432"/>
      <c r="M70" s="532"/>
      <c r="N70" s="547"/>
      <c r="O70" s="660"/>
      <c r="P70" s="538"/>
      <c r="Q70" s="473"/>
      <c r="R70" s="538"/>
      <c r="S70" s="661"/>
      <c r="T70" s="525"/>
      <c r="U70" s="368" t="s">
        <v>412</v>
      </c>
      <c r="V70" s="375">
        <v>0</v>
      </c>
      <c r="W70" s="694"/>
      <c r="X70" s="411"/>
      <c r="Y70" s="347">
        <f>Y68</f>
        <v>0.21</v>
      </c>
      <c r="Z70" s="61">
        <f>Z68</f>
        <v>1.7750869262109326</v>
      </c>
      <c r="AA70" s="905">
        <f>AA68</f>
        <v>4.9489431421069832E-2</v>
      </c>
      <c r="AB70" s="61">
        <f>AB68</f>
        <v>20.206334388684368</v>
      </c>
      <c r="AC70" s="61">
        <f>AC68</f>
        <v>2.3961024595554452</v>
      </c>
      <c r="AD70" s="748">
        <f>AC70*V70*D61</f>
        <v>0</v>
      </c>
      <c r="AE70" s="720"/>
      <c r="AF70" s="733"/>
      <c r="AG70" s="733"/>
      <c r="AH70" s="722">
        <f>AD70</f>
        <v>0</v>
      </c>
      <c r="AI70" s="733"/>
      <c r="AJ70" s="721"/>
      <c r="AK70" s="721"/>
      <c r="AL70" s="721"/>
      <c r="AM70" s="721"/>
      <c r="AN70" s="721"/>
      <c r="AO70" s="721"/>
      <c r="AP70" s="721"/>
      <c r="AQ70" s="721"/>
      <c r="AR70" s="645">
        <f>V70*T61</f>
        <v>0</v>
      </c>
      <c r="AY70" s="73"/>
      <c r="BA70" s="896"/>
      <c r="BB70" s="896"/>
      <c r="BC70" s="896"/>
      <c r="BD70" s="956"/>
      <c r="BE70" s="956"/>
      <c r="BF70" s="956"/>
      <c r="BG70" s="956"/>
      <c r="BH70" s="956"/>
      <c r="BI70" s="956"/>
      <c r="BJ70" s="956"/>
      <c r="BQ70" s="956"/>
    </row>
    <row r="71" spans="3:86" ht="15.75" customHeight="1" thickBot="1" x14ac:dyDescent="0.3">
      <c r="C71" s="330"/>
      <c r="D71" s="699"/>
      <c r="E71" s="448"/>
      <c r="F71" s="400"/>
      <c r="G71" s="362"/>
      <c r="H71" s="829"/>
      <c r="I71" s="532"/>
      <c r="J71" s="374"/>
      <c r="K71" s="400"/>
      <c r="L71" s="432"/>
      <c r="M71" s="532"/>
      <c r="N71" s="547"/>
      <c r="O71" s="660"/>
      <c r="P71" s="538"/>
      <c r="Q71" s="473"/>
      <c r="R71" s="538"/>
      <c r="S71" s="661"/>
      <c r="T71" s="525"/>
      <c r="U71" s="391" t="s">
        <v>417</v>
      </c>
      <c r="V71" s="295">
        <v>0</v>
      </c>
      <c r="W71" s="517"/>
      <c r="X71" s="616"/>
      <c r="Y71" s="347">
        <f>Y67</f>
        <v>0.29103580869983181</v>
      </c>
      <c r="Z71" s="61">
        <f>Z67</f>
        <v>2.460065995629988</v>
      </c>
      <c r="AA71" s="905">
        <f>AA67</f>
        <v>6.8586650932028217E-2</v>
      </c>
      <c r="AB71" s="61">
        <f>AB67</f>
        <v>14.580096657453579</v>
      </c>
      <c r="AC71" s="61">
        <f>AC67</f>
        <v>1.7289333527532149</v>
      </c>
      <c r="AD71" s="748">
        <f>AC71*V71*D61</f>
        <v>0</v>
      </c>
      <c r="AE71" s="720"/>
      <c r="AF71" s="721"/>
      <c r="AG71" s="733"/>
      <c r="AH71" s="722">
        <f>AD71</f>
        <v>0</v>
      </c>
      <c r="AI71" s="733"/>
      <c r="AJ71" s="721"/>
      <c r="AK71" s="721"/>
      <c r="AL71" s="721"/>
      <c r="AM71" s="721"/>
      <c r="AN71" s="721"/>
      <c r="AO71" s="721"/>
      <c r="AP71" s="721"/>
      <c r="AQ71" s="721"/>
      <c r="AR71" s="645">
        <f>V71*T61</f>
        <v>0</v>
      </c>
      <c r="AY71" s="73"/>
      <c r="BZ71" s="1971" t="s">
        <v>509</v>
      </c>
      <c r="CA71" s="1972"/>
      <c r="CB71" s="1972"/>
      <c r="CC71" s="1972"/>
      <c r="CD71" s="1972"/>
      <c r="CE71" s="1972"/>
      <c r="CF71" s="1973"/>
    </row>
    <row r="72" spans="3:86" ht="15.75" customHeight="1" thickBot="1" x14ac:dyDescent="0.3">
      <c r="C72" s="330"/>
      <c r="D72" s="700"/>
      <c r="E72" s="456"/>
      <c r="F72" s="438"/>
      <c r="G72" s="437"/>
      <c r="H72" s="830"/>
      <c r="I72" s="705"/>
      <c r="J72" s="445"/>
      <c r="K72" s="438"/>
      <c r="L72" s="439"/>
      <c r="M72" s="705"/>
      <c r="N72" s="550"/>
      <c r="O72" s="662"/>
      <c r="P72" s="692"/>
      <c r="Q72" s="663"/>
      <c r="R72" s="692"/>
      <c r="S72" s="661"/>
      <c r="T72" s="527"/>
      <c r="U72" s="444" t="s">
        <v>57</v>
      </c>
      <c r="V72" s="412">
        <f>1-SUM(V62:V71)</f>
        <v>1</v>
      </c>
      <c r="W72" s="773">
        <f>AB72*74</f>
        <v>1495.2687447626433</v>
      </c>
      <c r="X72" s="406"/>
      <c r="Y72" s="608">
        <v>0.21</v>
      </c>
      <c r="Z72" s="476"/>
      <c r="AA72" s="617">
        <f>1/AB72</f>
        <v>4.9489431421069832E-2</v>
      </c>
      <c r="AB72" s="406">
        <f>L61</f>
        <v>20.206334388684368</v>
      </c>
      <c r="AC72" s="406">
        <f>K61</f>
        <v>2.3961024595554452</v>
      </c>
      <c r="AD72" s="747">
        <f>AC72*V72*D61</f>
        <v>23966.248098916283</v>
      </c>
      <c r="AE72" s="734"/>
      <c r="AF72" s="729">
        <f>+AD72*Q62</f>
        <v>23846.4168584217</v>
      </c>
      <c r="AG72" s="730"/>
      <c r="AH72" s="893"/>
      <c r="AI72" s="893"/>
      <c r="AJ72" s="730"/>
      <c r="AK72" s="907">
        <f>AD72*Q63</f>
        <v>119.83124049458142</v>
      </c>
      <c r="AL72" s="730"/>
      <c r="AM72" s="730"/>
      <c r="AN72" s="730"/>
      <c r="AO72" s="730"/>
      <c r="AP72" s="730"/>
      <c r="AQ72" s="731"/>
      <c r="AR72" s="648">
        <f>T61-SUM(V62:V71)*T61</f>
        <v>45502</v>
      </c>
      <c r="AY72" s="73"/>
      <c r="BZ72" s="1751" t="s">
        <v>454</v>
      </c>
      <c r="CA72" s="1752" t="str">
        <f>CA54</f>
        <v>Petrol</v>
      </c>
      <c r="CB72" s="1752" t="str">
        <f t="shared" ref="CB72:CF72" si="111">CB54</f>
        <v>Diesel</v>
      </c>
      <c r="CC72" s="1752" t="str">
        <f t="shared" si="111"/>
        <v xml:space="preserve">Jet fuel </v>
      </c>
      <c r="CD72" s="1752" t="str">
        <f t="shared" si="111"/>
        <v>Bioethanol</v>
      </c>
      <c r="CE72" s="1752" t="str">
        <f t="shared" si="111"/>
        <v>Biodiesel</v>
      </c>
      <c r="CF72" s="1753" t="str">
        <f t="shared" si="111"/>
        <v>Electricity (Train)</v>
      </c>
    </row>
    <row r="73" spans="3:86" ht="15.75" customHeight="1" thickBot="1" x14ac:dyDescent="0.3">
      <c r="C73" s="331" t="s">
        <v>16</v>
      </c>
      <c r="D73" s="698">
        <v>9748.1895000000004</v>
      </c>
      <c r="E73" s="392">
        <f>D73/D141</f>
        <v>0.112425521774228</v>
      </c>
      <c r="F73" s="1328">
        <f>((F74*I74)+(F75*I75)+(F76*I76))/(I74+I75+I76)</f>
        <v>30</v>
      </c>
      <c r="G73" s="1320">
        <f>H73/F73</f>
        <v>0.51906304980557316</v>
      </c>
      <c r="H73" s="1328">
        <f>((H74*I74)+(H75*I75)+(H76*I76))/(I74+I75+I76)</f>
        <v>15.571891494167193</v>
      </c>
      <c r="I73" s="759">
        <f>D73/H73</f>
        <v>626.01190765112938</v>
      </c>
      <c r="J73" s="795">
        <f>J75+J74+J76</f>
        <v>6.086213695159548E-2</v>
      </c>
      <c r="K73" s="1324">
        <f>L73/H73</f>
        <v>1.6780196872349427</v>
      </c>
      <c r="L73" s="1328">
        <f>((L74*I74)+(L75*I75)+(L76*I76))/(I74+I75+I76)</f>
        <v>26.129940494698896</v>
      </c>
      <c r="M73" s="759">
        <f>SUM(M74:M76)</f>
        <v>16357.653895896949</v>
      </c>
      <c r="N73" s="392">
        <f>M73/M141</f>
        <v>0.13753888799435998</v>
      </c>
      <c r="O73" s="667" t="s">
        <v>60</v>
      </c>
      <c r="P73" s="757">
        <f>SUM(P74+P75)</f>
        <v>16357.653895896949</v>
      </c>
      <c r="Q73" s="809">
        <f>SUM(Q74+Q75)</f>
        <v>1</v>
      </c>
      <c r="R73" s="757">
        <f>SUM(R74+R75)</f>
        <v>9748.1895000000004</v>
      </c>
      <c r="S73" s="797">
        <f>SUM(S74+S75)</f>
        <v>1</v>
      </c>
      <c r="T73" s="678">
        <f>I73/I61*T61</f>
        <v>24015.993933773505</v>
      </c>
      <c r="U73" s="670" t="s">
        <v>60</v>
      </c>
      <c r="V73" s="4"/>
      <c r="W73" s="532"/>
      <c r="X73" s="4"/>
      <c r="Y73" s="4"/>
      <c r="Z73" s="4"/>
      <c r="AA73" s="615"/>
      <c r="AB73" s="4"/>
      <c r="AC73" s="4"/>
      <c r="AD73" s="748">
        <f>SUM(AD74:AD84)</f>
        <v>16357.653895896952</v>
      </c>
      <c r="AE73" s="720"/>
      <c r="AF73" s="733"/>
      <c r="AG73" s="733"/>
      <c r="AH73" s="733"/>
      <c r="AI73" s="733"/>
      <c r="AJ73" s="721"/>
      <c r="AK73" s="721"/>
      <c r="AL73" s="721"/>
      <c r="AM73" s="721"/>
      <c r="AN73" s="721"/>
      <c r="AO73" s="721"/>
      <c r="AP73" s="721"/>
      <c r="AQ73" s="721"/>
      <c r="AR73" s="644">
        <f>SUM(AR74:AR84)</f>
        <v>24015.993933773505</v>
      </c>
      <c r="AY73" s="73"/>
      <c r="BZ73" s="1755">
        <v>2010</v>
      </c>
      <c r="CA73" s="1756">
        <f>CA55+CA64</f>
        <v>70.806485710680548</v>
      </c>
      <c r="CB73" s="1756">
        <f t="shared" ref="CB73:CF73" si="112">CB55+CB64</f>
        <v>145.72643524434929</v>
      </c>
      <c r="CC73" s="1756">
        <f t="shared" si="112"/>
        <v>34.130531338372641</v>
      </c>
      <c r="CD73" s="1756">
        <f t="shared" si="112"/>
        <v>0.22948338869161566</v>
      </c>
      <c r="CE73" s="1756">
        <f t="shared" si="112"/>
        <v>0.67872892314868094</v>
      </c>
      <c r="CF73" s="1717">
        <f t="shared" si="112"/>
        <v>1.4400261444444442</v>
      </c>
    </row>
    <row r="74" spans="3:86" ht="15.75" customHeight="1" x14ac:dyDescent="0.25">
      <c r="C74" s="330" t="s">
        <v>318</v>
      </c>
      <c r="D74" s="699">
        <f>D73*0.0499</f>
        <v>486.43465605</v>
      </c>
      <c r="E74" s="448">
        <f>D74/D141</f>
        <v>5.6100335365339773E-3</v>
      </c>
      <c r="F74" s="400">
        <v>30</v>
      </c>
      <c r="G74" s="881">
        <v>0.39400000000000002</v>
      </c>
      <c r="H74" s="829">
        <f>G74*F74</f>
        <v>11.82</v>
      </c>
      <c r="I74" s="532">
        <f>D74/H74</f>
        <v>41.153524200507611</v>
      </c>
      <c r="J74" s="366">
        <f>I74/I141</f>
        <v>4.0010284074786873E-3</v>
      </c>
      <c r="K74" s="400">
        <f>L74/H74</f>
        <v>6.0913705583756341</v>
      </c>
      <c r="L74" s="430">
        <v>72</v>
      </c>
      <c r="M74" s="532">
        <f>D74*K74</f>
        <v>2963.053742436548</v>
      </c>
      <c r="N74" s="547">
        <f>M74/M141</f>
        <v>2.491403225645171E-2</v>
      </c>
      <c r="O74" s="380" t="s">
        <v>3</v>
      </c>
      <c r="P74" s="538">
        <f>Q74*M73</f>
        <v>16275.865626417464</v>
      </c>
      <c r="Q74" s="473">
        <f>1-Q75</f>
        <v>0.995</v>
      </c>
      <c r="R74" s="538">
        <f>S74*D73</f>
        <v>9705.2444244630879</v>
      </c>
      <c r="S74" s="661">
        <f>Q74*Z80/(Q74*Z80+Q75*Z77)</f>
        <v>0.99559455881146819</v>
      </c>
      <c r="T74" s="677">
        <f>S74*T73</f>
        <v>23910.19288491413</v>
      </c>
      <c r="U74" s="391" t="s">
        <v>418</v>
      </c>
      <c r="V74" s="294">
        <v>0</v>
      </c>
      <c r="W74" s="532"/>
      <c r="X74" s="411"/>
      <c r="Y74" s="347">
        <f>Y20</f>
        <v>0.5</v>
      </c>
      <c r="Z74" s="411"/>
      <c r="AA74" s="615">
        <f t="shared" ref="AA74:AA80" si="113">1/AB74</f>
        <v>9.1119701609554599E-2</v>
      </c>
      <c r="AB74" s="616">
        <f>AB84*Y84/Y74</f>
        <v>10.974575007773536</v>
      </c>
      <c r="AC74" s="432">
        <f>AB74/H73</f>
        <v>0.70476826863867592</v>
      </c>
      <c r="AD74" s="748">
        <f>AC74*V74*D73</f>
        <v>0</v>
      </c>
      <c r="AE74" s="720"/>
      <c r="AF74" s="733"/>
      <c r="AG74" s="733"/>
      <c r="AH74" s="722">
        <f>AD74</f>
        <v>0</v>
      </c>
      <c r="AI74" s="733"/>
      <c r="AJ74" s="721"/>
      <c r="AK74" s="721"/>
      <c r="AL74" s="721"/>
      <c r="AM74" s="721"/>
      <c r="AN74" s="721"/>
      <c r="AO74" s="721"/>
      <c r="AP74" s="721"/>
      <c r="AR74" s="645">
        <f>V74*T73</f>
        <v>0</v>
      </c>
      <c r="AY74" s="73"/>
      <c r="BZ74" s="1755">
        <v>2020</v>
      </c>
      <c r="CA74" s="1756">
        <f t="shared" ref="CA74:CF77" si="114">CA56+CA65</f>
        <v>61.588047399610154</v>
      </c>
      <c r="CB74" s="1756">
        <f t="shared" si="114"/>
        <v>149.87790555592488</v>
      </c>
      <c r="CC74" s="1756">
        <f t="shared" si="114"/>
        <v>41.678876507927072</v>
      </c>
      <c r="CD74" s="1756">
        <f t="shared" si="114"/>
        <v>4.0476132807982825</v>
      </c>
      <c r="CE74" s="1756">
        <f t="shared" si="114"/>
        <v>6.9363993604705119</v>
      </c>
      <c r="CF74" s="1717">
        <f t="shared" si="114"/>
        <v>2.604060284181609</v>
      </c>
    </row>
    <row r="75" spans="3:86" ht="15.75" customHeight="1" x14ac:dyDescent="0.25">
      <c r="C75" s="330" t="s">
        <v>319</v>
      </c>
      <c r="D75" s="699">
        <f>D73*0.5389</f>
        <v>5253.299321550001</v>
      </c>
      <c r="E75" s="448">
        <f>D75/D141</f>
        <v>6.0586113684131478E-2</v>
      </c>
      <c r="F75" s="400">
        <v>30</v>
      </c>
      <c r="G75" s="882">
        <v>0.47499999999999998</v>
      </c>
      <c r="H75" s="829">
        <f>G75*F75</f>
        <v>14.25</v>
      </c>
      <c r="I75" s="532">
        <f>D75/H75</f>
        <v>368.65258396842114</v>
      </c>
      <c r="J75" s="366">
        <f>I75/I141</f>
        <v>3.5841145797420711E-2</v>
      </c>
      <c r="K75" s="400">
        <f>L75/H75</f>
        <v>2.1052631578947367</v>
      </c>
      <c r="L75" s="433">
        <v>30</v>
      </c>
      <c r="M75" s="532">
        <f>D75*K75</f>
        <v>11059.577519052633</v>
      </c>
      <c r="N75" s="547">
        <f>M75/M141</f>
        <v>9.2991452401341643E-2</v>
      </c>
      <c r="O75" s="915" t="s">
        <v>74</v>
      </c>
      <c r="P75" s="912">
        <f>Q75*M73</f>
        <v>81.78826947948474</v>
      </c>
      <c r="Q75" s="913">
        <v>5.0000000000000001E-3</v>
      </c>
      <c r="R75" s="912">
        <f>S75*D73</f>
        <v>42.945075536913144</v>
      </c>
      <c r="S75" s="914">
        <f>Q75*Z77/(Q74*Z80+Q75*Z77)</f>
        <v>4.405441188531793E-3</v>
      </c>
      <c r="T75" s="677">
        <f>S75*T73</f>
        <v>105.80104885937548</v>
      </c>
      <c r="U75" s="391" t="s">
        <v>85</v>
      </c>
      <c r="V75" s="375">
        <v>0</v>
      </c>
      <c r="W75" s="532"/>
      <c r="X75" s="411"/>
      <c r="Y75" s="347">
        <f>Y63</f>
        <v>0.16</v>
      </c>
      <c r="Z75" s="411"/>
      <c r="AA75" s="615">
        <f t="shared" si="113"/>
        <v>2.9158304515057475E-2</v>
      </c>
      <c r="AB75" s="61">
        <f>AB84*Y84/Y75</f>
        <v>34.295546899292297</v>
      </c>
      <c r="AC75" s="432">
        <f>AB75/H73</f>
        <v>2.2024008394958621</v>
      </c>
      <c r="AD75" s="748">
        <f>AC75*V75*D73</f>
        <v>0</v>
      </c>
      <c r="AE75" s="720"/>
      <c r="AF75" s="733"/>
      <c r="AG75" s="733"/>
      <c r="AH75" s="892"/>
      <c r="AI75" s="733"/>
      <c r="AJ75" s="741"/>
      <c r="AK75" s="741"/>
      <c r="AL75" s="722">
        <f>AD75</f>
        <v>0</v>
      </c>
      <c r="AM75" s="721"/>
      <c r="AN75" s="721"/>
      <c r="AO75" s="721"/>
      <c r="AP75" s="721"/>
      <c r="AQ75" s="721"/>
      <c r="AR75" s="645">
        <f>V75*T73</f>
        <v>0</v>
      </c>
      <c r="AY75" s="73"/>
      <c r="BZ75" s="1755">
        <v>2030</v>
      </c>
      <c r="CA75" s="1756">
        <f t="shared" si="114"/>
        <v>57.337858893853266</v>
      </c>
      <c r="CB75" s="1756">
        <f t="shared" si="114"/>
        <v>158.4648148319942</v>
      </c>
      <c r="CC75" s="1756">
        <f t="shared" si="114"/>
        <v>44.608384593366296</v>
      </c>
      <c r="CD75" s="1756">
        <f t="shared" si="114"/>
        <v>4.3060323532242677</v>
      </c>
      <c r="CE75" s="1756">
        <f t="shared" si="114"/>
        <v>7.1968925856141652</v>
      </c>
      <c r="CF75" s="1717">
        <f t="shared" si="114"/>
        <v>3.0546053753048596</v>
      </c>
    </row>
    <row r="76" spans="3:86" ht="15.75" customHeight="1" thickBot="1" x14ac:dyDescent="0.3">
      <c r="C76" s="330" t="s">
        <v>320</v>
      </c>
      <c r="D76" s="699">
        <f>D73*0.4112</f>
        <v>4008.4555224000001</v>
      </c>
      <c r="E76" s="448">
        <f>D76/D141</f>
        <v>4.6229374553562554E-2</v>
      </c>
      <c r="F76" s="400">
        <v>30</v>
      </c>
      <c r="G76" s="883">
        <v>0.61799999999999999</v>
      </c>
      <c r="H76" s="829">
        <f>G76*F76</f>
        <v>18.54</v>
      </c>
      <c r="I76" s="532">
        <f>D76/H76</f>
        <v>216.20579948220066</v>
      </c>
      <c r="J76" s="366">
        <f>I76/I141</f>
        <v>2.101996274669608E-2</v>
      </c>
      <c r="K76" s="400">
        <f>L76/H76</f>
        <v>0.58252427184466027</v>
      </c>
      <c r="L76" s="434">
        <v>10.8</v>
      </c>
      <c r="M76" s="532">
        <f>D76*K76</f>
        <v>2335.0226344077673</v>
      </c>
      <c r="N76" s="547">
        <f>M76/M141</f>
        <v>1.9633403336566629E-2</v>
      </c>
      <c r="O76" s="659"/>
      <c r="P76" s="758"/>
      <c r="Q76" s="810"/>
      <c r="R76" s="758"/>
      <c r="S76" s="796"/>
      <c r="T76" s="756"/>
      <c r="U76" s="391" t="s">
        <v>101</v>
      </c>
      <c r="V76" s="375">
        <v>0</v>
      </c>
      <c r="W76" s="532"/>
      <c r="X76" s="411"/>
      <c r="Y76" s="347">
        <f>Y75*((Y15/Y14))</f>
        <v>0.22174156853320523</v>
      </c>
      <c r="Z76" s="411"/>
      <c r="AA76" s="615">
        <f t="shared" si="113"/>
        <v>4.0410051118360525E-2</v>
      </c>
      <c r="AB76" s="61">
        <f>AB84*Y84/Y76</f>
        <v>24.746318609472002</v>
      </c>
      <c r="AC76" s="432">
        <f>AB76/H73</f>
        <v>1.5891658774235167</v>
      </c>
      <c r="AD76" s="748">
        <f>AC76*V76*D73</f>
        <v>0</v>
      </c>
      <c r="AE76" s="720"/>
      <c r="AF76" s="733"/>
      <c r="AG76" s="733"/>
      <c r="AH76" s="892"/>
      <c r="AI76" s="733"/>
      <c r="AJ76" s="741"/>
      <c r="AK76" s="741"/>
      <c r="AL76" s="722">
        <f>AD76</f>
        <v>0</v>
      </c>
      <c r="AM76" s="721"/>
      <c r="AN76" s="721"/>
      <c r="AO76" s="721"/>
      <c r="AP76" s="721"/>
      <c r="AQ76" s="721"/>
      <c r="AR76" s="645">
        <f>V76*T73</f>
        <v>0</v>
      </c>
      <c r="AS76" s="32"/>
      <c r="AY76" s="73"/>
      <c r="BK76" s="31"/>
      <c r="BL76" s="31"/>
      <c r="BM76" s="31"/>
      <c r="BN76" s="31"/>
      <c r="BO76" s="31"/>
      <c r="BP76" s="31"/>
      <c r="BZ76" s="1755">
        <v>2040</v>
      </c>
      <c r="CA76" s="1756">
        <f t="shared" si="114"/>
        <v>49.028369151447016</v>
      </c>
      <c r="CB76" s="1756">
        <f t="shared" si="114"/>
        <v>174.28725653377225</v>
      </c>
      <c r="CC76" s="1756">
        <f t="shared" si="114"/>
        <v>41.88222691356161</v>
      </c>
      <c r="CD76" s="1756">
        <f t="shared" si="114"/>
        <v>4.6027337096996082</v>
      </c>
      <c r="CE76" s="1756">
        <f t="shared" si="114"/>
        <v>7.5361279424928478</v>
      </c>
      <c r="CF76" s="1717">
        <f t="shared" si="114"/>
        <v>3.1118580784779448</v>
      </c>
    </row>
    <row r="77" spans="3:86" ht="15.75" customHeight="1" thickBot="1" x14ac:dyDescent="0.3">
      <c r="C77" s="330"/>
      <c r="D77" s="699"/>
      <c r="E77" s="448"/>
      <c r="F77" s="400"/>
      <c r="G77" s="373"/>
      <c r="H77" s="829"/>
      <c r="I77" s="532"/>
      <c r="J77" s="374"/>
      <c r="K77" s="400"/>
      <c r="L77" s="432"/>
      <c r="M77" s="532"/>
      <c r="N77" s="547"/>
      <c r="O77" s="659"/>
      <c r="P77" s="758"/>
      <c r="Q77" s="810"/>
      <c r="R77" s="758"/>
      <c r="S77" s="796"/>
      <c r="T77" s="756"/>
      <c r="U77" s="391" t="s">
        <v>422</v>
      </c>
      <c r="V77" s="375">
        <v>0</v>
      </c>
      <c r="W77" s="694"/>
      <c r="X77" s="411"/>
      <c r="Y77" s="347">
        <f>Y84</f>
        <v>0.21</v>
      </c>
      <c r="Z77" s="61">
        <f>1/((AB77/37600)/0.84*1000)</f>
        <v>1.2087283553671924</v>
      </c>
      <c r="AA77" s="615">
        <f t="shared" si="113"/>
        <v>3.8270274676012933E-2</v>
      </c>
      <c r="AB77" s="61">
        <f>AB84</f>
        <v>26.129940494698896</v>
      </c>
      <c r="AC77" s="432">
        <f>AB77/H73</f>
        <v>1.6780196872349427</v>
      </c>
      <c r="AD77" s="748">
        <f>AC77*V77*D73</f>
        <v>0</v>
      </c>
      <c r="AE77" s="720"/>
      <c r="AF77" s="733"/>
      <c r="AG77" s="733"/>
      <c r="AH77" s="892"/>
      <c r="AI77" s="722">
        <f>+AD77</f>
        <v>0</v>
      </c>
      <c r="AJ77" s="721"/>
      <c r="AK77" s="721"/>
      <c r="AL77" s="721"/>
      <c r="AM77" s="721"/>
      <c r="AN77" s="721"/>
      <c r="AO77" s="721"/>
      <c r="AP77" s="721"/>
      <c r="AQ77" s="721"/>
      <c r="AR77" s="645">
        <f>V77*T73</f>
        <v>0</v>
      </c>
      <c r="AY77"/>
      <c r="BK77" s="1647"/>
      <c r="BL77" s="1647"/>
      <c r="BM77" s="1647"/>
      <c r="BN77" s="1647"/>
      <c r="BO77" s="1647"/>
      <c r="BP77" s="1647"/>
      <c r="BX77" s="956"/>
      <c r="BY77" s="956"/>
      <c r="BZ77" s="1758">
        <v>2050</v>
      </c>
      <c r="CA77" s="1759">
        <f t="shared" si="114"/>
        <v>40.718879409040767</v>
      </c>
      <c r="CB77" s="1759">
        <f t="shared" si="114"/>
        <v>190.1096982355503</v>
      </c>
      <c r="CC77" s="1759">
        <f t="shared" si="114"/>
        <v>39.156069233756917</v>
      </c>
      <c r="CD77" s="1759">
        <f t="shared" si="114"/>
        <v>4.8994350661749468</v>
      </c>
      <c r="CE77" s="1759">
        <f t="shared" si="114"/>
        <v>7.8753632993715303</v>
      </c>
      <c r="CF77" s="1760">
        <f t="shared" si="114"/>
        <v>3.1691107816510304</v>
      </c>
    </row>
    <row r="78" spans="3:86" ht="15.75" customHeight="1" x14ac:dyDescent="0.25">
      <c r="C78" s="330"/>
      <c r="D78" s="699"/>
      <c r="E78" s="448"/>
      <c r="F78" s="400"/>
      <c r="G78" s="373"/>
      <c r="H78" s="829"/>
      <c r="I78" s="532"/>
      <c r="J78" s="374"/>
      <c r="K78" s="400"/>
      <c r="L78" s="432"/>
      <c r="M78" s="532"/>
      <c r="N78" s="547"/>
      <c r="O78" s="660"/>
      <c r="P78" s="538"/>
      <c r="Q78" s="473"/>
      <c r="R78" s="538"/>
      <c r="S78" s="661"/>
      <c r="T78" s="525"/>
      <c r="U78" s="391" t="s">
        <v>423</v>
      </c>
      <c r="V78" s="375">
        <v>0</v>
      </c>
      <c r="W78" s="694"/>
      <c r="X78" s="411"/>
      <c r="Y78" s="347">
        <f>Y77*((Y15/Y14))</f>
        <v>0.29103580869983181</v>
      </c>
      <c r="Z78" s="61">
        <f>1/((AB78/37600)/0.84*1000)</f>
        <v>1.6751582590605165</v>
      </c>
      <c r="AA78" s="615">
        <f t="shared" si="113"/>
        <v>5.3038192092848178E-2</v>
      </c>
      <c r="AB78" s="616">
        <f>AB84*Y84/Y78</f>
        <v>18.854337988169149</v>
      </c>
      <c r="AC78" s="432">
        <f>AB78/H73</f>
        <v>1.2107930494655368</v>
      </c>
      <c r="AD78" s="748">
        <f>AC78*V78*D73</f>
        <v>0</v>
      </c>
      <c r="AE78" s="720"/>
      <c r="AF78" s="733"/>
      <c r="AG78" s="733"/>
      <c r="AH78" s="892"/>
      <c r="AI78" s="722">
        <f>+AD78</f>
        <v>0</v>
      </c>
      <c r="AJ78" s="721"/>
      <c r="AK78" s="721"/>
      <c r="AL78" s="721"/>
      <c r="AM78" s="721"/>
      <c r="AN78" s="721"/>
      <c r="AO78" s="721"/>
      <c r="AP78" s="721"/>
      <c r="AQ78" s="721"/>
      <c r="AR78" s="645">
        <f>V78*T73</f>
        <v>0</v>
      </c>
      <c r="AY78" s="275"/>
      <c r="AZ78" s="31"/>
      <c r="BA78" s="31"/>
      <c r="BB78" s="31"/>
      <c r="BC78" s="31"/>
      <c r="BD78" s="31"/>
      <c r="BE78" s="31"/>
      <c r="BF78" s="31"/>
      <c r="BG78" s="31"/>
      <c r="BH78" s="31"/>
      <c r="BI78" s="31"/>
      <c r="BJ78" s="31"/>
      <c r="BK78" s="1647"/>
      <c r="BL78" s="1647"/>
      <c r="BM78" s="1647"/>
      <c r="BN78" s="1647"/>
      <c r="BO78" s="1647"/>
      <c r="BP78" s="1647"/>
      <c r="BQ78" s="31"/>
    </row>
    <row r="79" spans="3:86" ht="15.75" customHeight="1" x14ac:dyDescent="0.25">
      <c r="C79" s="330"/>
      <c r="D79" s="699"/>
      <c r="E79" s="448"/>
      <c r="F79" s="400"/>
      <c r="G79" s="373"/>
      <c r="H79" s="829"/>
      <c r="I79" s="532"/>
      <c r="J79" s="374"/>
      <c r="K79" s="400"/>
      <c r="L79" s="432"/>
      <c r="M79" s="532"/>
      <c r="N79" s="547"/>
      <c r="O79" s="660"/>
      <c r="P79" s="538"/>
      <c r="Q79" s="473"/>
      <c r="R79" s="538"/>
      <c r="S79" s="661"/>
      <c r="T79" s="525"/>
      <c r="U79" s="671" t="s">
        <v>72</v>
      </c>
      <c r="V79" s="375">
        <v>0</v>
      </c>
      <c r="W79" s="694">
        <f>AB79*74</f>
        <v>1395.221011124517</v>
      </c>
      <c r="X79" s="411"/>
      <c r="Y79" s="347">
        <f>Y78</f>
        <v>0.29103580869983181</v>
      </c>
      <c r="Z79" s="61">
        <f>1/((AB79/42700)/0.84*1000)</f>
        <v>1.9023738739862786</v>
      </c>
      <c r="AA79" s="615">
        <f t="shared" si="113"/>
        <v>5.3038192092848178E-2</v>
      </c>
      <c r="AB79" s="61">
        <f>AB78</f>
        <v>18.854337988169149</v>
      </c>
      <c r="AC79" s="432">
        <f>AB79/H73</f>
        <v>1.2107930494655368</v>
      </c>
      <c r="AD79" s="748">
        <f>AC79*V79*D73</f>
        <v>0</v>
      </c>
      <c r="AE79" s="720"/>
      <c r="AF79" s="722">
        <f>AD79</f>
        <v>0</v>
      </c>
      <c r="AG79" s="733"/>
      <c r="AH79" s="892"/>
      <c r="AI79" s="733"/>
      <c r="AJ79" s="721"/>
      <c r="AK79" s="721"/>
      <c r="AL79" s="721"/>
      <c r="AM79" s="721"/>
      <c r="AN79" s="721"/>
      <c r="AO79" s="721"/>
      <c r="AP79" s="721"/>
      <c r="AQ79" s="721"/>
      <c r="AR79" s="645">
        <f>V79*T73</f>
        <v>0</v>
      </c>
      <c r="AY79" s="275"/>
      <c r="AZ79" s="275"/>
      <c r="BA79" s="275"/>
      <c r="BB79" s="275"/>
      <c r="BC79" s="275"/>
      <c r="BD79" s="1647"/>
      <c r="BE79" s="1647"/>
      <c r="BF79" s="1647"/>
      <c r="BG79" s="1647"/>
      <c r="BH79" s="1647"/>
      <c r="BI79" s="1647"/>
      <c r="BJ79" s="1647"/>
      <c r="BK79" s="1647"/>
      <c r="BL79" s="1647"/>
      <c r="BM79" s="1647"/>
      <c r="BN79" s="1647"/>
      <c r="BO79" s="1647"/>
      <c r="BP79" s="1647"/>
      <c r="BQ79" s="1647"/>
    </row>
    <row r="80" spans="3:86" ht="15.75" customHeight="1" x14ac:dyDescent="0.25">
      <c r="C80" s="330"/>
      <c r="D80" s="699"/>
      <c r="E80" s="448"/>
      <c r="F80" s="400"/>
      <c r="G80" s="373"/>
      <c r="H80" s="829"/>
      <c r="I80" s="532"/>
      <c r="J80" s="374"/>
      <c r="K80" s="400"/>
      <c r="L80" s="432"/>
      <c r="M80" s="532"/>
      <c r="N80" s="547"/>
      <c r="O80" s="660"/>
      <c r="P80" s="538"/>
      <c r="Q80" s="473"/>
      <c r="R80" s="538"/>
      <c r="S80" s="661"/>
      <c r="T80" s="525"/>
      <c r="U80" s="391" t="s">
        <v>87</v>
      </c>
      <c r="V80" s="375">
        <v>0</v>
      </c>
      <c r="W80" s="694">
        <f>AB80*74</f>
        <v>1933.6155966077183</v>
      </c>
      <c r="X80" s="411"/>
      <c r="Y80" s="347">
        <f>Y84</f>
        <v>0.21</v>
      </c>
      <c r="Z80" s="61">
        <f>1/((AB80/42700)/0.84*1000)</f>
        <v>1.3726782120792318</v>
      </c>
      <c r="AA80" s="615">
        <f t="shared" si="113"/>
        <v>3.8270274676012933E-2</v>
      </c>
      <c r="AB80" s="61">
        <f>AB84</f>
        <v>26.129940494698896</v>
      </c>
      <c r="AC80" s="432">
        <f>AB80/H73</f>
        <v>1.6780196872349427</v>
      </c>
      <c r="AD80" s="748">
        <f>AC80*V80*D73</f>
        <v>0</v>
      </c>
      <c r="AE80" s="720"/>
      <c r="AF80" s="722">
        <f>AD80</f>
        <v>0</v>
      </c>
      <c r="AG80" s="733"/>
      <c r="AH80" s="733"/>
      <c r="AI80" s="733"/>
      <c r="AJ80" s="721"/>
      <c r="AK80" s="721"/>
      <c r="AL80" s="721"/>
      <c r="AM80" s="721"/>
      <c r="AN80" s="721"/>
      <c r="AO80" s="721"/>
      <c r="AP80" s="721"/>
      <c r="AQ80" s="721"/>
      <c r="AR80" s="645">
        <f>V80*T73</f>
        <v>0</v>
      </c>
      <c r="AY80" s="1526"/>
      <c r="AZ80" s="275"/>
      <c r="BA80" s="275"/>
      <c r="BB80" s="275"/>
      <c r="BC80" s="275"/>
      <c r="BD80" s="1647"/>
      <c r="BE80" s="1647"/>
      <c r="BF80" s="1647"/>
      <c r="BG80" s="1647"/>
      <c r="BH80" s="1647"/>
      <c r="BI80" s="1647"/>
      <c r="BJ80" s="1647"/>
      <c r="BK80" s="1647"/>
      <c r="BL80" s="1647"/>
      <c r="BM80" s="1647"/>
      <c r="BN80" s="1647"/>
      <c r="BO80" s="1647"/>
      <c r="BP80" s="1647"/>
      <c r="BQ80" s="1647"/>
    </row>
    <row r="81" spans="3:94" ht="15.75" customHeight="1" x14ac:dyDescent="0.25">
      <c r="C81" s="330"/>
      <c r="D81" s="699"/>
      <c r="E81" s="448"/>
      <c r="F81" s="400"/>
      <c r="G81" s="373"/>
      <c r="H81" s="829"/>
      <c r="I81" s="532"/>
      <c r="J81" s="374"/>
      <c r="K81" s="400"/>
      <c r="L81" s="432"/>
      <c r="M81" s="532"/>
      <c r="N81" s="547"/>
      <c r="O81" s="660"/>
      <c r="P81" s="538"/>
      <c r="Q81" s="473"/>
      <c r="R81" s="538"/>
      <c r="S81" s="661"/>
      <c r="T81" s="525"/>
      <c r="U81" s="368" t="s">
        <v>483</v>
      </c>
      <c r="V81" s="375">
        <v>0</v>
      </c>
      <c r="W81" s="694"/>
      <c r="X81" s="411"/>
      <c r="Y81" s="347">
        <f>Y80</f>
        <v>0.21</v>
      </c>
      <c r="Z81" s="61">
        <f t="shared" ref="Z81:AC81" si="115">Z80</f>
        <v>1.3726782120792318</v>
      </c>
      <c r="AA81" s="615">
        <f t="shared" si="115"/>
        <v>3.8270274676012933E-2</v>
      </c>
      <c r="AB81" s="61">
        <f t="shared" si="115"/>
        <v>26.129940494698896</v>
      </c>
      <c r="AC81" s="432">
        <f t="shared" si="115"/>
        <v>1.6780196872349427</v>
      </c>
      <c r="AD81" s="748">
        <f>AC81*V81*D73</f>
        <v>0</v>
      </c>
      <c r="AE81" s="720"/>
      <c r="AF81" s="741"/>
      <c r="AG81" s="733"/>
      <c r="AH81" s="733"/>
      <c r="AI81" s="733"/>
      <c r="AJ81" s="721"/>
      <c r="AK81" s="738">
        <f>AD81</f>
        <v>0</v>
      </c>
      <c r="AL81" s="721"/>
      <c r="AM81" s="721"/>
      <c r="AN81" s="721"/>
      <c r="AO81" s="721"/>
      <c r="AP81" s="721"/>
      <c r="AQ81" s="721"/>
      <c r="AR81" s="645">
        <f>V81*T73</f>
        <v>0</v>
      </c>
      <c r="AY81" s="894"/>
      <c r="AZ81" s="1526"/>
      <c r="BA81" s="1526"/>
      <c r="BB81" s="1526"/>
      <c r="BC81" s="1526"/>
      <c r="BD81" s="1647"/>
      <c r="BE81" s="1647"/>
      <c r="BF81" s="1647"/>
      <c r="BG81" s="1647"/>
      <c r="BH81" s="1647"/>
      <c r="BI81" s="1647"/>
      <c r="BJ81" s="1647"/>
      <c r="BK81" s="1647"/>
      <c r="BL81" s="1647"/>
      <c r="BM81" s="1647"/>
      <c r="BN81" s="1647"/>
      <c r="BO81" s="1647"/>
      <c r="BP81" s="1647"/>
      <c r="BQ81" s="1647"/>
    </row>
    <row r="82" spans="3:94" ht="15.75" customHeight="1" x14ac:dyDescent="0.25">
      <c r="C82" s="330"/>
      <c r="D82" s="699"/>
      <c r="E82" s="448"/>
      <c r="F82" s="400"/>
      <c r="G82" s="373"/>
      <c r="H82" s="829"/>
      <c r="I82" s="532"/>
      <c r="J82" s="374"/>
      <c r="K82" s="400"/>
      <c r="L82" s="432"/>
      <c r="M82" s="532"/>
      <c r="N82" s="547"/>
      <c r="O82" s="660"/>
      <c r="P82" s="538"/>
      <c r="Q82" s="473"/>
      <c r="R82" s="538"/>
      <c r="S82" s="661"/>
      <c r="T82" s="525"/>
      <c r="U82" s="368" t="s">
        <v>412</v>
      </c>
      <c r="V82" s="375">
        <v>0</v>
      </c>
      <c r="W82" s="694"/>
      <c r="X82" s="411"/>
      <c r="Y82" s="347">
        <f>Y80</f>
        <v>0.21</v>
      </c>
      <c r="Z82" s="61">
        <f>Z80</f>
        <v>1.3726782120792318</v>
      </c>
      <c r="AA82" s="905">
        <f>AA80</f>
        <v>3.8270274676012933E-2</v>
      </c>
      <c r="AB82" s="61">
        <f>AB80</f>
        <v>26.129940494698896</v>
      </c>
      <c r="AC82" s="61">
        <f>AC80</f>
        <v>1.6780196872349427</v>
      </c>
      <c r="AD82" s="748">
        <f>AC82*V82*D73</f>
        <v>0</v>
      </c>
      <c r="AE82" s="720"/>
      <c r="AF82" s="733"/>
      <c r="AG82" s="733"/>
      <c r="AH82" s="722">
        <f>AD82</f>
        <v>0</v>
      </c>
      <c r="AI82" s="733"/>
      <c r="AJ82" s="721"/>
      <c r="AK82" s="721"/>
      <c r="AL82" s="721"/>
      <c r="AM82" s="721"/>
      <c r="AN82" s="721"/>
      <c r="AO82" s="721"/>
      <c r="AP82" s="721"/>
      <c r="AQ82" s="721"/>
      <c r="AR82" s="645">
        <f>V82*T73</f>
        <v>0</v>
      </c>
      <c r="AY82" s="275"/>
      <c r="AZ82" s="894"/>
      <c r="BA82" s="894"/>
      <c r="BB82" s="894"/>
      <c r="BC82" s="894"/>
      <c r="BD82" s="1647"/>
      <c r="BE82" s="1647"/>
      <c r="BF82" s="1647"/>
      <c r="BG82" s="1647"/>
      <c r="BH82" s="1647"/>
      <c r="BI82" s="1647"/>
      <c r="BJ82" s="1647"/>
      <c r="BK82" s="1647"/>
      <c r="BL82" s="1647"/>
      <c r="BM82" s="1647"/>
      <c r="BN82" s="1647"/>
      <c r="BO82" s="1647"/>
      <c r="BP82" s="1647"/>
      <c r="BQ82" s="1647"/>
    </row>
    <row r="83" spans="3:94" ht="15.75" customHeight="1" thickBot="1" x14ac:dyDescent="0.3">
      <c r="C83" s="330"/>
      <c r="D83" s="699"/>
      <c r="E83" s="448"/>
      <c r="F83" s="400"/>
      <c r="G83" s="373"/>
      <c r="H83" s="829"/>
      <c r="I83" s="532"/>
      <c r="J83" s="374"/>
      <c r="K83" s="400"/>
      <c r="L83" s="432"/>
      <c r="M83" s="532"/>
      <c r="N83" s="547"/>
      <c r="O83" s="660"/>
      <c r="P83" s="538"/>
      <c r="Q83" s="473"/>
      <c r="R83" s="538"/>
      <c r="S83" s="661"/>
      <c r="T83" s="525"/>
      <c r="U83" s="391" t="s">
        <v>417</v>
      </c>
      <c r="V83" s="295">
        <v>0</v>
      </c>
      <c r="W83" s="517"/>
      <c r="X83" s="616"/>
      <c r="Y83" s="347">
        <f>Y79</f>
        <v>0.29103580869983181</v>
      </c>
      <c r="Z83" s="61">
        <f>Z79</f>
        <v>1.9023738739862786</v>
      </c>
      <c r="AA83" s="905">
        <f>AA79</f>
        <v>5.3038192092848178E-2</v>
      </c>
      <c r="AB83" s="61">
        <f>AB79</f>
        <v>18.854337988169149</v>
      </c>
      <c r="AC83" s="61">
        <f>AC79</f>
        <v>1.2107930494655368</v>
      </c>
      <c r="AD83" s="748">
        <f>AC83*V83*D73</f>
        <v>0</v>
      </c>
      <c r="AE83" s="720"/>
      <c r="AF83" s="721"/>
      <c r="AG83" s="733"/>
      <c r="AH83" s="722">
        <f>AD83</f>
        <v>0</v>
      </c>
      <c r="AI83" s="733"/>
      <c r="AJ83" s="721"/>
      <c r="AK83" s="721"/>
      <c r="AL83" s="721"/>
      <c r="AM83" s="721"/>
      <c r="AN83" s="721"/>
      <c r="AO83" s="721"/>
      <c r="AP83" s="721"/>
      <c r="AQ83" s="723"/>
      <c r="AR83" s="645">
        <f>V83*T73</f>
        <v>0</v>
      </c>
      <c r="AY83" s="275"/>
      <c r="AZ83" s="275"/>
      <c r="BA83" s="275"/>
      <c r="BB83" s="275"/>
      <c r="BC83" s="275"/>
      <c r="BD83" s="1647"/>
      <c r="BE83" s="1647"/>
      <c r="BF83" s="1647"/>
      <c r="BG83" s="1647"/>
      <c r="BH83" s="1647"/>
      <c r="BI83" s="1647"/>
      <c r="BJ83" s="1647"/>
      <c r="BK83" s="1647"/>
      <c r="BL83" s="1647"/>
      <c r="BM83" s="1647"/>
      <c r="BN83" s="1647"/>
      <c r="BO83" s="1647"/>
      <c r="BP83" s="1647"/>
      <c r="BQ83" s="1647"/>
    </row>
    <row r="84" spans="3:94" ht="15.75" customHeight="1" thickBot="1" x14ac:dyDescent="0.3">
      <c r="C84" s="330"/>
      <c r="D84" s="699"/>
      <c r="E84" s="456"/>
      <c r="F84" s="438"/>
      <c r="G84" s="388"/>
      <c r="H84" s="830"/>
      <c r="I84" s="705"/>
      <c r="J84" s="445"/>
      <c r="K84" s="438"/>
      <c r="L84" s="439"/>
      <c r="M84" s="705"/>
      <c r="N84" s="550"/>
      <c r="O84" s="662"/>
      <c r="P84" s="692"/>
      <c r="Q84" s="663"/>
      <c r="R84" s="692"/>
      <c r="S84" s="664"/>
      <c r="T84" s="527"/>
      <c r="U84" s="444" t="s">
        <v>57</v>
      </c>
      <c r="V84" s="412">
        <f>1-SUM(V74:V83)</f>
        <v>1</v>
      </c>
      <c r="W84" s="532">
        <f>AB84*74</f>
        <v>1933.6155966077183</v>
      </c>
      <c r="X84" s="411"/>
      <c r="Y84" s="618">
        <f>Y72</f>
        <v>0.21</v>
      </c>
      <c r="Z84" s="411"/>
      <c r="AA84" s="615">
        <f>1/AB84</f>
        <v>3.8270274676012933E-2</v>
      </c>
      <c r="AB84" s="411">
        <f>L73</f>
        <v>26.129940494698896</v>
      </c>
      <c r="AC84" s="432">
        <f>K73</f>
        <v>1.6780196872349427</v>
      </c>
      <c r="AD84" s="748">
        <f>AC84*V84*D73</f>
        <v>16357.653895896952</v>
      </c>
      <c r="AE84" s="734"/>
      <c r="AF84" s="729">
        <f>+AD84*Q74</f>
        <v>16275.865626417468</v>
      </c>
      <c r="AG84" s="730"/>
      <c r="AH84" s="893"/>
      <c r="AI84" s="893"/>
      <c r="AJ84" s="730"/>
      <c r="AK84" s="907">
        <f>AD84*Q75</f>
        <v>81.788269479484768</v>
      </c>
      <c r="AL84" s="730"/>
      <c r="AM84" s="730"/>
      <c r="AN84" s="730"/>
      <c r="AO84" s="730"/>
      <c r="AP84" s="730"/>
      <c r="AQ84" s="731"/>
      <c r="AR84" s="648">
        <f>T73-SUM(V74:V83)*T73</f>
        <v>24015.993933773505</v>
      </c>
      <c r="AY84" s="275"/>
      <c r="AZ84" s="275"/>
      <c r="BA84" s="275"/>
      <c r="BB84" s="275"/>
      <c r="BC84" s="275"/>
      <c r="BD84" s="1647"/>
      <c r="BE84" s="1647"/>
      <c r="BF84" s="1647"/>
      <c r="BG84" s="1647"/>
      <c r="BH84" s="1647"/>
      <c r="BI84" s="1647"/>
      <c r="BJ84" s="1647"/>
      <c r="BK84" s="1647"/>
      <c r="BL84" s="1647"/>
      <c r="BM84" s="1647"/>
      <c r="BN84" s="1647"/>
      <c r="BO84" s="1647"/>
      <c r="BP84" s="1647"/>
      <c r="BQ84" s="1647"/>
    </row>
    <row r="85" spans="3:94" ht="15.75" customHeight="1" thickBot="1" x14ac:dyDescent="0.3">
      <c r="C85" s="331" t="s">
        <v>18</v>
      </c>
      <c r="D85" s="698">
        <v>4056.5</v>
      </c>
      <c r="E85" s="392">
        <f>D85/D141</f>
        <v>4.6783469799920888E-2</v>
      </c>
      <c r="F85" s="1328">
        <f>((F86*I86)+(F87*I87)+(F88*I88))/(I86+I87+I88)</f>
        <v>1</v>
      </c>
      <c r="G85" s="1320">
        <f>H85/F85</f>
        <v>0.47999999999999993</v>
      </c>
      <c r="H85" s="1328">
        <f>((H86*I86)+(H87*I87)+(H88*I88))/(I86+I87+I88)</f>
        <v>0.47999999999999993</v>
      </c>
      <c r="I85" s="759">
        <f>D85/H85</f>
        <v>8451.0416666666679</v>
      </c>
      <c r="J85" s="795">
        <f>J87+J86</f>
        <v>0.82162727100543909</v>
      </c>
      <c r="K85" s="1324">
        <f>L85/H85</f>
        <v>10</v>
      </c>
      <c r="L85" s="1328">
        <f>((L86*I86)+(L87*I87)+(L88*I88))/(I86+I87+I88)</f>
        <v>4.7999999999999989</v>
      </c>
      <c r="M85" s="759">
        <f>D85*K85</f>
        <v>40565</v>
      </c>
      <c r="N85" s="392">
        <f>M85/M141</f>
        <v>0.34107977996102978</v>
      </c>
      <c r="O85" s="667" t="s">
        <v>60</v>
      </c>
      <c r="P85" s="757">
        <f>SUM(P86:P89)</f>
        <v>40564.999999999993</v>
      </c>
      <c r="Q85" s="809">
        <f>SUM(Q86:Q89)</f>
        <v>1</v>
      </c>
      <c r="R85" s="757">
        <f>SUM(R86:R89)</f>
        <v>4056.4999999999995</v>
      </c>
      <c r="S85" s="795">
        <f>SUM(S86:S89)</f>
        <v>1</v>
      </c>
      <c r="T85" s="678">
        <v>462359</v>
      </c>
      <c r="U85" s="672" t="s">
        <v>56</v>
      </c>
      <c r="V85" s="619"/>
      <c r="W85" s="762"/>
      <c r="X85" s="447"/>
      <c r="Y85" s="619"/>
      <c r="Z85" s="447"/>
      <c r="AA85" s="447"/>
      <c r="AB85" s="447"/>
      <c r="AC85" s="447"/>
      <c r="AD85" s="749">
        <f>SUM(AD86:AD102)</f>
        <v>40565</v>
      </c>
      <c r="AE85" s="716"/>
      <c r="AF85" s="717"/>
      <c r="AG85" s="717"/>
      <c r="AH85" s="717"/>
      <c r="AI85" s="717"/>
      <c r="AJ85" s="718"/>
      <c r="AK85" s="718"/>
      <c r="AL85" s="718"/>
      <c r="AM85" s="718"/>
      <c r="AN85" s="718"/>
      <c r="AO85" s="718"/>
      <c r="AP85" s="717"/>
      <c r="AQ85" s="719"/>
      <c r="AR85" s="644">
        <f>SUM(AR86:AR102)</f>
        <v>462359</v>
      </c>
      <c r="AY85" s="275"/>
      <c r="AZ85" s="275"/>
      <c r="BA85" s="275"/>
      <c r="BB85" s="275"/>
      <c r="BC85" s="275"/>
      <c r="BD85" s="1647"/>
      <c r="BE85" s="1647"/>
      <c r="BF85" s="1647"/>
      <c r="BG85" s="1647"/>
      <c r="BH85" s="1647"/>
      <c r="BI85" s="1647"/>
      <c r="BJ85" s="1647"/>
      <c r="BK85" s="1647"/>
      <c r="BL85" s="1647"/>
      <c r="BM85" s="1647"/>
      <c r="BN85" s="1647"/>
      <c r="BO85" s="1647"/>
      <c r="BP85" s="1647"/>
      <c r="BQ85" s="1647"/>
    </row>
    <row r="86" spans="3:94" ht="15.75" customHeight="1" thickBot="1" x14ac:dyDescent="0.3">
      <c r="C86" s="330" t="s">
        <v>32</v>
      </c>
      <c r="D86" s="701">
        <f>D85*0.3387</f>
        <v>1373.9365499999999</v>
      </c>
      <c r="E86" s="448">
        <f>D86/D141</f>
        <v>1.5845561221233203E-2</v>
      </c>
      <c r="F86" s="400">
        <v>1</v>
      </c>
      <c r="G86" s="425">
        <v>0.48</v>
      </c>
      <c r="H86" s="828">
        <f>G86*F86</f>
        <v>0.48</v>
      </c>
      <c r="I86" s="532">
        <f>D86/H86</f>
        <v>2862.3678124999997</v>
      </c>
      <c r="J86" s="366">
        <f>I86/I141</f>
        <v>0.27828515668954218</v>
      </c>
      <c r="K86" s="432">
        <f>L86/H86</f>
        <v>10</v>
      </c>
      <c r="L86" s="430">
        <v>4.8</v>
      </c>
      <c r="M86" s="691">
        <f>D86*K86</f>
        <v>13739.3655</v>
      </c>
      <c r="N86" s="448">
        <f>M86/M141</f>
        <v>0.11552372147280078</v>
      </c>
      <c r="O86" s="380" t="s">
        <v>3</v>
      </c>
      <c r="P86" s="538">
        <f>Q86*M85</f>
        <v>34683.074999999997</v>
      </c>
      <c r="Q86" s="473">
        <f>1-Q87-Q88-Q89</f>
        <v>0.85499999999999998</v>
      </c>
      <c r="R86" s="538">
        <f>S86*D85</f>
        <v>3625.2292341195534</v>
      </c>
      <c r="S86" s="365">
        <f>(Q86*Z87)/(Q86*Z87+Q87*Z91+Q88*Z92+Q89*Z93)</f>
        <v>0.89368402172305028</v>
      </c>
      <c r="T86" s="677">
        <f>382612-S89*T85</f>
        <v>380484.21781467955</v>
      </c>
      <c r="U86" s="368" t="s">
        <v>295</v>
      </c>
      <c r="V86" s="294">
        <v>0</v>
      </c>
      <c r="W86" s="694"/>
      <c r="X86" s="61"/>
      <c r="Y86" s="347">
        <f>Y7</f>
        <v>0.79</v>
      </c>
      <c r="Z86" s="61"/>
      <c r="AA86" s="61">
        <f t="shared" ref="AA86:AA95" si="116">1/AB86</f>
        <v>1.216820985663265</v>
      </c>
      <c r="AB86" s="61">
        <f>AB102/Y86*Y102</f>
        <v>0.8218135714144672</v>
      </c>
      <c r="AC86" s="61">
        <f>AC102/Y86*Y102</f>
        <v>1.7121116071134737</v>
      </c>
      <c r="AD86" s="752">
        <f>AC86*V86*D85</f>
        <v>0</v>
      </c>
      <c r="AE86" s="720"/>
      <c r="AF86" s="721"/>
      <c r="AG86" s="721"/>
      <c r="AH86" s="721"/>
      <c r="AI86" s="721"/>
      <c r="AJ86" s="721"/>
      <c r="AK86" s="721"/>
      <c r="AL86" s="721"/>
      <c r="AM86" s="721"/>
      <c r="AN86" s="722">
        <f>AD86</f>
        <v>0</v>
      </c>
      <c r="AO86" s="721"/>
      <c r="AP86" s="721"/>
      <c r="AQ86" s="723"/>
      <c r="AR86" s="645">
        <f>V86*T85</f>
        <v>0</v>
      </c>
      <c r="AY86" s="275"/>
      <c r="AZ86" s="275"/>
      <c r="BA86" s="275"/>
      <c r="BB86" s="275"/>
      <c r="BC86" s="275"/>
      <c r="BD86" s="1647"/>
      <c r="BE86" s="1647"/>
      <c r="BF86" s="1647"/>
      <c r="BG86" s="1647"/>
      <c r="BH86" s="1647"/>
      <c r="BI86" s="1647"/>
      <c r="BJ86" s="1647"/>
      <c r="BK86" s="1647"/>
      <c r="BL86" s="1647"/>
      <c r="BM86" s="1647"/>
      <c r="BN86" s="1647"/>
      <c r="BO86" s="1647"/>
      <c r="BP86" s="1647"/>
      <c r="BQ86" s="1647"/>
    </row>
    <row r="87" spans="3:94" ht="15.75" customHeight="1" thickBot="1" x14ac:dyDescent="0.3">
      <c r="C87" s="330" t="s">
        <v>35</v>
      </c>
      <c r="D87" s="701">
        <f>D85*0.6613</f>
        <v>2682.5634500000001</v>
      </c>
      <c r="E87" s="448">
        <f>D87/D141</f>
        <v>3.0937908578687681E-2</v>
      </c>
      <c r="F87" s="400">
        <v>1</v>
      </c>
      <c r="G87" s="426">
        <v>0.48</v>
      </c>
      <c r="H87" s="828">
        <f>G87*F87</f>
        <v>0.48</v>
      </c>
      <c r="I87" s="532">
        <f>D87/H87</f>
        <v>5588.6738541666673</v>
      </c>
      <c r="J87" s="366">
        <f>I87/I141</f>
        <v>0.54334211431589685</v>
      </c>
      <c r="K87" s="432">
        <f>L87/H87</f>
        <v>10</v>
      </c>
      <c r="L87" s="434">
        <v>4.8</v>
      </c>
      <c r="M87" s="691">
        <f>D87*K87</f>
        <v>26825.6345</v>
      </c>
      <c r="N87" s="448">
        <f>M87/M141</f>
        <v>0.22555605848822899</v>
      </c>
      <c r="O87" s="380" t="s">
        <v>41</v>
      </c>
      <c r="P87" s="538">
        <f>Q87*M85</f>
        <v>5679.1</v>
      </c>
      <c r="Q87" s="473">
        <v>0.14000000000000001</v>
      </c>
      <c r="R87" s="538">
        <f>S87*D85</f>
        <v>412.60269964889824</v>
      </c>
      <c r="S87" s="365">
        <f>(Q87*Z91)/(Q86*Z87+Q87*Z91+Q88*Z92+Q89*Z93)</f>
        <v>0.1017139651544184</v>
      </c>
      <c r="T87" s="677">
        <v>79648</v>
      </c>
      <c r="U87" s="368" t="s">
        <v>87</v>
      </c>
      <c r="V87" s="375">
        <v>0</v>
      </c>
      <c r="W87" s="694">
        <f>AB87*74</f>
        <v>228.39075785835712</v>
      </c>
      <c r="X87" s="61"/>
      <c r="Y87" s="347">
        <f>Y8</f>
        <v>0.21035536566976626</v>
      </c>
      <c r="Z87" s="61">
        <f>1/((AB87/42700)/0.84*1000)</f>
        <v>11.621450994291529</v>
      </c>
      <c r="AA87" s="61">
        <f>1/AB87</f>
        <v>0.32400610556182469</v>
      </c>
      <c r="AB87" s="628">
        <f>AB102/Y87*Y102</f>
        <v>3.0863615926805017</v>
      </c>
      <c r="AC87" s="61">
        <f>AC102/Y87*Y102</f>
        <v>6.429919984751046</v>
      </c>
      <c r="AD87" s="752">
        <f>AC87*V87*D85</f>
        <v>0</v>
      </c>
      <c r="AE87" s="725"/>
      <c r="AF87" s="722">
        <f>AD87</f>
        <v>0</v>
      </c>
      <c r="AG87" s="721"/>
      <c r="AH87" s="721"/>
      <c r="AI87" s="721"/>
      <c r="AJ87" s="721"/>
      <c r="AK87" s="721"/>
      <c r="AL87" s="721"/>
      <c r="AM87" s="721"/>
      <c r="AN87" s="721"/>
      <c r="AO87" s="721"/>
      <c r="AP87" s="721"/>
      <c r="AQ87" s="723"/>
      <c r="AR87" s="645">
        <f>V87*T85</f>
        <v>0</v>
      </c>
      <c r="AY87" s="275"/>
      <c r="AZ87" s="275"/>
      <c r="BA87" s="275"/>
      <c r="BB87" s="275"/>
      <c r="BC87" s="275"/>
      <c r="BD87" s="1647"/>
      <c r="BE87" s="1647"/>
      <c r="BF87" s="1647"/>
      <c r="BG87" s="1647"/>
      <c r="BH87" s="1647"/>
      <c r="BI87" s="1647"/>
      <c r="BJ87" s="1647"/>
      <c r="BQ87" s="1647"/>
      <c r="BR87" s="1971" t="s">
        <v>510</v>
      </c>
      <c r="BS87" s="1972"/>
      <c r="BT87" s="1972"/>
      <c r="BU87" s="1972"/>
      <c r="BV87" s="1972"/>
      <c r="BW87" s="1973"/>
      <c r="BY87" s="1971" t="s">
        <v>511</v>
      </c>
      <c r="BZ87" s="1972"/>
      <c r="CA87" s="1972"/>
      <c r="CB87" s="1972"/>
      <c r="CC87" s="1972"/>
      <c r="CD87" s="1973"/>
    </row>
    <row r="88" spans="3:94" ht="15.75" customHeight="1" x14ac:dyDescent="0.25">
      <c r="C88" s="330"/>
      <c r="D88" s="701"/>
      <c r="E88" s="448"/>
      <c r="F88" s="371"/>
      <c r="G88" s="436"/>
      <c r="H88" s="828"/>
      <c r="I88" s="532"/>
      <c r="J88" s="366"/>
      <c r="K88" s="432"/>
      <c r="L88" s="432"/>
      <c r="M88" s="691"/>
      <c r="N88" s="448"/>
      <c r="O88" s="380" t="s">
        <v>43</v>
      </c>
      <c r="P88" s="538">
        <f>Q88*M85</f>
        <v>0</v>
      </c>
      <c r="Q88" s="473">
        <v>0</v>
      </c>
      <c r="R88" s="538">
        <f>S88*D85</f>
        <v>0</v>
      </c>
      <c r="S88" s="365">
        <f>Q88*Z92/(Q86*Z87+Q87*Z91+Q88*Z92+Q89*Z93)</f>
        <v>0</v>
      </c>
      <c r="T88" s="677">
        <f>S88*T85</f>
        <v>0</v>
      </c>
      <c r="U88" s="368" t="s">
        <v>88</v>
      </c>
      <c r="V88" s="375">
        <v>0</v>
      </c>
      <c r="W88" s="694">
        <f>AB88*74</f>
        <v>164.79779366161105</v>
      </c>
      <c r="X88" s="61"/>
      <c r="Y88" s="347">
        <f>Y9</f>
        <v>0.291528304581187</v>
      </c>
      <c r="Z88" s="61">
        <f>1/((AB88/42700)/0.84*1000)</f>
        <v>16.105992325662378</v>
      </c>
      <c r="AA88" s="61">
        <f>1/AB88</f>
        <v>0.44903513788508925</v>
      </c>
      <c r="AB88" s="61">
        <f>AB102/Y88*Y102</f>
        <v>2.2269972116433925</v>
      </c>
      <c r="AC88" s="61">
        <f>AC102/Y88*Y102</f>
        <v>4.639577524257068</v>
      </c>
      <c r="AD88" s="752">
        <f>AC88*V88*D85</f>
        <v>0</v>
      </c>
      <c r="AE88" s="720"/>
      <c r="AF88" s="722">
        <f>AD88</f>
        <v>0</v>
      </c>
      <c r="AG88" s="721"/>
      <c r="AH88" s="721"/>
      <c r="AI88" s="721"/>
      <c r="AJ88" s="721"/>
      <c r="AK88" s="721"/>
      <c r="AL88" s="721"/>
      <c r="AM88" s="721"/>
      <c r="AN88" s="721"/>
      <c r="AO88" s="721"/>
      <c r="AP88" s="721"/>
      <c r="AQ88" s="723"/>
      <c r="AR88" s="645">
        <f>V88*T85</f>
        <v>0</v>
      </c>
      <c r="AZ88" s="275"/>
      <c r="BA88" s="275"/>
      <c r="BB88" s="275"/>
      <c r="BC88" s="275"/>
      <c r="BD88" s="1647"/>
      <c r="BE88" s="1647"/>
      <c r="BF88" s="1647"/>
      <c r="BG88" s="1647"/>
      <c r="BH88" s="1647"/>
      <c r="BI88" s="1647"/>
      <c r="BJ88" s="1647"/>
      <c r="BQ88" s="1647"/>
      <c r="BR88" s="1704" t="s">
        <v>454</v>
      </c>
      <c r="BS88" s="1705">
        <v>2010</v>
      </c>
      <c r="BT88" s="1705">
        <v>2020</v>
      </c>
      <c r="BU88" s="1705">
        <v>2030</v>
      </c>
      <c r="BV88" s="1705">
        <v>2040</v>
      </c>
      <c r="BW88" s="1706">
        <v>2050</v>
      </c>
      <c r="BY88" s="1704" t="s">
        <v>454</v>
      </c>
      <c r="BZ88" s="1705">
        <v>2010</v>
      </c>
      <c r="CA88" s="1705">
        <v>2020</v>
      </c>
      <c r="CB88" s="1705">
        <v>2030</v>
      </c>
      <c r="CC88" s="1705">
        <v>2040</v>
      </c>
      <c r="CD88" s="1706">
        <v>2050</v>
      </c>
    </row>
    <row r="89" spans="3:94" ht="15.75" customHeight="1" x14ac:dyDescent="0.25">
      <c r="C89" s="330"/>
      <c r="D89" s="701"/>
      <c r="E89" s="448"/>
      <c r="F89" s="371"/>
      <c r="G89" s="436"/>
      <c r="H89" s="828"/>
      <c r="I89" s="532"/>
      <c r="J89" s="366"/>
      <c r="K89" s="432"/>
      <c r="L89" s="432"/>
      <c r="M89" s="691"/>
      <c r="N89" s="448"/>
      <c r="O89" s="915" t="s">
        <v>74</v>
      </c>
      <c r="P89" s="912">
        <f>Q89*M85</f>
        <v>202.82500000000002</v>
      </c>
      <c r="Q89" s="913">
        <v>5.0000000000000001E-3</v>
      </c>
      <c r="R89" s="912">
        <f>S89*D85</f>
        <v>18.66806623154816</v>
      </c>
      <c r="S89" s="914">
        <f>Q89*Z93/(Q86*Z87+Q87*Z91+Q88*Z92+Q89*Z93)</f>
        <v>4.6020131225312857E-3</v>
      </c>
      <c r="T89" s="677">
        <f>S89*T85</f>
        <v>2127.7821853204427</v>
      </c>
      <c r="U89" s="368" t="s">
        <v>293</v>
      </c>
      <c r="V89" s="375">
        <v>0</v>
      </c>
      <c r="W89" s="694">
        <f>AB89*74</f>
        <v>75.849733793637128</v>
      </c>
      <c r="X89" s="61"/>
      <c r="Y89" s="347">
        <f>Y10</f>
        <v>0.63339999999999996</v>
      </c>
      <c r="Z89" s="61">
        <f>1/((AB89/42700)/0.84*1000)</f>
        <v>34.993293545647987</v>
      </c>
      <c r="AA89" s="61">
        <f>1/AB89</f>
        <v>0.97561318015077458</v>
      </c>
      <c r="AB89" s="61">
        <f>AB102/Y89*Y102</f>
        <v>1.024996402616718</v>
      </c>
      <c r="AC89" s="61">
        <f>AC102/Y89*Y102</f>
        <v>2.1354091721181629</v>
      </c>
      <c r="AD89" s="752">
        <f>AC89*V89*D85</f>
        <v>0</v>
      </c>
      <c r="AE89" s="720"/>
      <c r="AF89" s="722">
        <f>AD89*$AW$17</f>
        <v>0</v>
      </c>
      <c r="AG89" s="721"/>
      <c r="AH89" s="721"/>
      <c r="AI89" s="721"/>
      <c r="AJ89" s="721"/>
      <c r="AK89" s="721"/>
      <c r="AL89" s="721"/>
      <c r="AM89" s="721"/>
      <c r="AN89" s="721"/>
      <c r="AO89" s="722">
        <f>AD89*$AX$17</f>
        <v>0</v>
      </c>
      <c r="AP89" s="721"/>
      <c r="AQ89" s="723"/>
      <c r="AR89" s="645">
        <f>V89*T85</f>
        <v>0</v>
      </c>
      <c r="BR89" s="1707" t="str">
        <f>$C$6</f>
        <v>Cars and vans &lt; 2 t</v>
      </c>
      <c r="BS89" s="829">
        <f>H6</f>
        <v>1.5017411328771677</v>
      </c>
      <c r="BT89" s="829">
        <f>H146</f>
        <v>1.499293963690548</v>
      </c>
      <c r="BU89" s="829">
        <f>H286</f>
        <v>1.4972050561290464</v>
      </c>
      <c r="BV89" s="829"/>
      <c r="BW89" s="1725">
        <f>H426</f>
        <v>1.4979803297221106</v>
      </c>
      <c r="BY89" s="1707" t="str">
        <f>$C$6</f>
        <v>Cars and vans &lt; 2 t</v>
      </c>
      <c r="BZ89" s="1733">
        <f>K6</f>
        <v>1.7695134149951965</v>
      </c>
      <c r="CA89" s="1733">
        <f>K146</f>
        <v>1.5088375458419234</v>
      </c>
      <c r="CB89" s="1733">
        <f>K286</f>
        <v>1.2885312769811545</v>
      </c>
      <c r="CC89" s="1733">
        <f>AVERAGE(CB89,CD89)</f>
        <v>1.2329222519125231</v>
      </c>
      <c r="CD89" s="1778">
        <f>K426</f>
        <v>1.1773132268438915</v>
      </c>
    </row>
    <row r="90" spans="3:94" ht="15.75" customHeight="1" x14ac:dyDescent="0.25">
      <c r="C90" s="330"/>
      <c r="D90" s="701"/>
      <c r="E90" s="448"/>
      <c r="F90" s="371"/>
      <c r="G90" s="436"/>
      <c r="H90" s="828"/>
      <c r="I90" s="532"/>
      <c r="J90" s="366"/>
      <c r="K90" s="432"/>
      <c r="L90" s="432"/>
      <c r="M90" s="691"/>
      <c r="N90" s="448"/>
      <c r="O90" s="659"/>
      <c r="P90" s="758"/>
      <c r="Q90" s="810"/>
      <c r="R90" s="758"/>
      <c r="S90" s="796"/>
      <c r="T90" s="756"/>
      <c r="U90" s="368" t="s">
        <v>483</v>
      </c>
      <c r="V90" s="375">
        <v>0</v>
      </c>
      <c r="W90" s="694"/>
      <c r="X90" s="61"/>
      <c r="Y90" s="347">
        <f>Y87</f>
        <v>0.21035536566976626</v>
      </c>
      <c r="Z90" s="61">
        <f>Z87</f>
        <v>11.621450994291529</v>
      </c>
      <c r="AA90" s="61">
        <f>AA87</f>
        <v>0.32400610556182469</v>
      </c>
      <c r="AB90" s="628">
        <f>AB87</f>
        <v>3.0863615926805017</v>
      </c>
      <c r="AC90" s="61">
        <f>AC87</f>
        <v>6.429919984751046</v>
      </c>
      <c r="AD90" s="752">
        <f>AC90*V90*D85</f>
        <v>0</v>
      </c>
      <c r="AE90" s="725"/>
      <c r="AF90" s="741"/>
      <c r="AG90" s="721"/>
      <c r="AH90" s="721"/>
      <c r="AI90" s="721"/>
      <c r="AJ90" s="721"/>
      <c r="AK90" s="738">
        <f>AD90</f>
        <v>0</v>
      </c>
      <c r="AL90" s="721"/>
      <c r="AM90" s="721"/>
      <c r="AN90" s="721"/>
      <c r="AO90" s="721"/>
      <c r="AP90" s="721"/>
      <c r="AQ90" s="723"/>
      <c r="AR90" s="645">
        <f>V90*T85</f>
        <v>0</v>
      </c>
      <c r="AY90" s="226"/>
      <c r="BR90" s="1707" t="str">
        <f>$C$24</f>
        <v>Rail</v>
      </c>
      <c r="BS90" s="532">
        <f>H24</f>
        <v>85.553700058739267</v>
      </c>
      <c r="BT90" s="532">
        <f>H164</f>
        <v>85.553700058739267</v>
      </c>
      <c r="BU90" s="532">
        <f>H304</f>
        <v>85.420765266390177</v>
      </c>
      <c r="BV90" s="532"/>
      <c r="BW90" s="748">
        <f>H444</f>
        <v>85.420765266390191</v>
      </c>
      <c r="BY90" s="1707" t="str">
        <f>$C$24</f>
        <v>Rail</v>
      </c>
      <c r="BZ90" s="1733">
        <f>K24</f>
        <v>0.54475768148089454</v>
      </c>
      <c r="CA90" s="1733">
        <f>K164</f>
        <v>0.3550572512851885</v>
      </c>
      <c r="CB90" s="1733">
        <f>K304</f>
        <v>0.33649857193900273</v>
      </c>
      <c r="CC90" s="1733">
        <f t="shared" ref="CC90:CC94" si="117">AVERAGE(CB90,CD90)</f>
        <v>0.33645833355380694</v>
      </c>
      <c r="CD90" s="1778">
        <f>K444</f>
        <v>0.33641809516861115</v>
      </c>
    </row>
    <row r="91" spans="3:94" ht="15.75" customHeight="1" x14ac:dyDescent="0.25">
      <c r="C91" s="330"/>
      <c r="D91" s="701"/>
      <c r="E91" s="448"/>
      <c r="F91" s="371"/>
      <c r="G91" s="436"/>
      <c r="H91" s="828"/>
      <c r="I91" s="532"/>
      <c r="J91" s="366"/>
      <c r="K91" s="432"/>
      <c r="L91" s="432"/>
      <c r="M91" s="691"/>
      <c r="N91" s="448"/>
      <c r="O91" s="659"/>
      <c r="P91" s="758"/>
      <c r="Q91" s="810"/>
      <c r="R91" s="758"/>
      <c r="S91" s="796"/>
      <c r="T91" s="756"/>
      <c r="U91" s="368" t="s">
        <v>86</v>
      </c>
      <c r="V91" s="375">
        <v>0</v>
      </c>
      <c r="W91" s="694">
        <f>AB91*73</f>
        <v>296.8678779260905</v>
      </c>
      <c r="X91" s="61"/>
      <c r="Y91" s="347">
        <f>Y12</f>
        <v>0.15964673913043476</v>
      </c>
      <c r="Z91" s="61">
        <f>1/((AB91/43800)/0.75*1000)</f>
        <v>8.077835893706995</v>
      </c>
      <c r="AA91" s="61">
        <f>1/AB91</f>
        <v>0.24590063603369844</v>
      </c>
      <c r="AB91" s="628">
        <f>AB102/Y91*Y102</f>
        <v>4.0666832592615139</v>
      </c>
      <c r="AC91" s="61">
        <f>AC102/Y91*Y102</f>
        <v>8.4722567901281565</v>
      </c>
      <c r="AD91" s="752">
        <f>AC91*V91*D85</f>
        <v>0</v>
      </c>
      <c r="AE91" s="726">
        <f>AD91</f>
        <v>0</v>
      </c>
      <c r="AF91" s="727"/>
      <c r="AG91" s="721"/>
      <c r="AH91" s="721"/>
      <c r="AI91" s="721"/>
      <c r="AJ91" s="721"/>
      <c r="AK91" s="721"/>
      <c r="AL91" s="721"/>
      <c r="AM91" s="721"/>
      <c r="AN91" s="721"/>
      <c r="AO91" s="721"/>
      <c r="AP91" s="721"/>
      <c r="AQ91" s="723"/>
      <c r="AR91" s="645">
        <f>V91*T85</f>
        <v>0</v>
      </c>
      <c r="AY91" s="226"/>
      <c r="BR91" s="1707" t="str">
        <f>$C$30</f>
        <v>Bus</v>
      </c>
      <c r="BS91" s="532">
        <f>H30</f>
        <v>14.773036430407544</v>
      </c>
      <c r="BT91" s="532">
        <f>H170</f>
        <v>14.773037474040708</v>
      </c>
      <c r="BU91" s="532">
        <f>H310</f>
        <v>14.773037474040704</v>
      </c>
      <c r="BV91" s="532"/>
      <c r="BW91" s="748">
        <f>H450</f>
        <v>14.773037474040708</v>
      </c>
      <c r="BY91" s="1707" t="str">
        <f>$C$30</f>
        <v>Bus</v>
      </c>
      <c r="BZ91" s="1733">
        <f>K30</f>
        <v>0.98409718798460322</v>
      </c>
      <c r="CA91" s="1733">
        <f>K170</f>
        <v>0.91365172398894634</v>
      </c>
      <c r="CB91" s="1733">
        <f>K310</f>
        <v>0.82629024197649437</v>
      </c>
      <c r="CC91" s="1733">
        <f t="shared" si="117"/>
        <v>0.79446495633530634</v>
      </c>
      <c r="CD91" s="1778">
        <f>K450</f>
        <v>0.76263967069411842</v>
      </c>
      <c r="CP91" s="7" t="s">
        <v>512</v>
      </c>
    </row>
    <row r="92" spans="3:94" ht="15.75" customHeight="1" x14ac:dyDescent="0.25">
      <c r="C92" s="330"/>
      <c r="D92" s="701"/>
      <c r="E92" s="448"/>
      <c r="F92" s="371"/>
      <c r="G92" s="436"/>
      <c r="H92" s="828"/>
      <c r="I92" s="532"/>
      <c r="J92" s="366"/>
      <c r="K92" s="432"/>
      <c r="L92" s="432"/>
      <c r="M92" s="691"/>
      <c r="N92" s="448"/>
      <c r="O92" s="659"/>
      <c r="P92" s="758"/>
      <c r="Q92" s="810"/>
      <c r="R92" s="758"/>
      <c r="S92" s="796"/>
      <c r="T92" s="756"/>
      <c r="U92" s="368" t="s">
        <v>84</v>
      </c>
      <c r="V92" s="375">
        <v>0</v>
      </c>
      <c r="W92" s="694"/>
      <c r="X92" s="61"/>
      <c r="Y92" s="347">
        <f>Y13</f>
        <v>0.15964673913043476</v>
      </c>
      <c r="Z92" s="61">
        <f>1/((AB92/26700)/0.79*1000)</f>
        <v>5.1867821158588017</v>
      </c>
      <c r="AA92" s="61">
        <f t="shared" si="116"/>
        <v>0.24590063603369844</v>
      </c>
      <c r="AB92" s="61">
        <f>AB102/Y92*Y102</f>
        <v>4.0666832592615139</v>
      </c>
      <c r="AC92" s="61">
        <f>AC102/Y92*Y102</f>
        <v>8.4722567901281565</v>
      </c>
      <c r="AD92" s="752">
        <f>AC92*V92*D85</f>
        <v>0</v>
      </c>
      <c r="AE92" s="720"/>
      <c r="AF92" s="721"/>
      <c r="AG92" s="721"/>
      <c r="AH92" s="721"/>
      <c r="AI92" s="721"/>
      <c r="AJ92" s="722">
        <f>AD92</f>
        <v>0</v>
      </c>
      <c r="AK92" s="741"/>
      <c r="AL92" s="721"/>
      <c r="AM92" s="721"/>
      <c r="AN92" s="721"/>
      <c r="AO92" s="721"/>
      <c r="AP92" s="721"/>
      <c r="AQ92" s="723"/>
      <c r="AR92" s="645">
        <f>V92*T85</f>
        <v>0</v>
      </c>
      <c r="AY92" s="228"/>
      <c r="BR92" s="1707" t="str">
        <f>$C$41</f>
        <v>Bicycle/walking</v>
      </c>
      <c r="BS92" s="829">
        <f>H41</f>
        <v>1</v>
      </c>
      <c r="BT92" s="829">
        <f>H181</f>
        <v>1</v>
      </c>
      <c r="BU92" s="829">
        <f>H321</f>
        <v>1</v>
      </c>
      <c r="BV92" s="829"/>
      <c r="BW92" s="1779">
        <f>H461</f>
        <v>1</v>
      </c>
      <c r="BY92" s="1707" t="str">
        <f>$C$41</f>
        <v>Bicycle/walking</v>
      </c>
      <c r="BZ92" s="1733">
        <f>K41</f>
        <v>0</v>
      </c>
      <c r="CA92" s="1733">
        <f>K181</f>
        <v>0</v>
      </c>
      <c r="CB92" s="1733">
        <f>K321</f>
        <v>0</v>
      </c>
      <c r="CC92" s="1733">
        <f t="shared" si="117"/>
        <v>0</v>
      </c>
      <c r="CD92" s="1780">
        <f>K461</f>
        <v>0</v>
      </c>
    </row>
    <row r="93" spans="3:94" ht="15.75" customHeight="1" x14ac:dyDescent="0.25">
      <c r="C93" s="330"/>
      <c r="D93" s="701"/>
      <c r="E93" s="448"/>
      <c r="F93" s="371"/>
      <c r="G93" s="436"/>
      <c r="H93" s="828"/>
      <c r="I93" s="532"/>
      <c r="J93" s="366"/>
      <c r="K93" s="432"/>
      <c r="L93" s="432"/>
      <c r="M93" s="691"/>
      <c r="N93" s="448"/>
      <c r="O93" s="659"/>
      <c r="P93" s="758"/>
      <c r="Q93" s="810"/>
      <c r="R93" s="758"/>
      <c r="S93" s="796"/>
      <c r="T93" s="756"/>
      <c r="U93" s="368" t="s">
        <v>422</v>
      </c>
      <c r="V93" s="375">
        <v>0</v>
      </c>
      <c r="W93" s="694"/>
      <c r="X93" s="61"/>
      <c r="Y93" s="347">
        <f>Y14</f>
        <v>0.21035536566976626</v>
      </c>
      <c r="Z93" s="61">
        <f>1/((AB93/37600)/0.84*1000)</f>
        <v>10.233408838064671</v>
      </c>
      <c r="AA93" s="61">
        <f>1/AB93</f>
        <v>0.32400610556182469</v>
      </c>
      <c r="AB93" s="61">
        <f>AB102/Y93*Y102</f>
        <v>3.0863615926805017</v>
      </c>
      <c r="AC93" s="61">
        <f>AC102/Y93*Y102</f>
        <v>6.429919984751046</v>
      </c>
      <c r="AD93" s="752">
        <f>AC93*V93*D85</f>
        <v>0</v>
      </c>
      <c r="AE93" s="720"/>
      <c r="AF93" s="721"/>
      <c r="AG93" s="721"/>
      <c r="AI93" s="722">
        <f>+AD93</f>
        <v>0</v>
      </c>
      <c r="AJ93" s="721"/>
      <c r="AK93" s="721"/>
      <c r="AL93" s="721"/>
      <c r="AM93" s="721"/>
      <c r="AN93" s="721"/>
      <c r="AO93" s="721"/>
      <c r="AP93" s="721"/>
      <c r="AQ93" s="723"/>
      <c r="AR93" s="645">
        <f>V93*T85</f>
        <v>0</v>
      </c>
      <c r="AT93" s="226"/>
      <c r="AU93" s="226"/>
      <c r="AV93" s="228"/>
      <c r="AW93" s="228"/>
      <c r="AX93" s="228"/>
      <c r="AY93" s="228"/>
      <c r="BR93" s="1718" t="str">
        <f>$C$46</f>
        <v>Air</v>
      </c>
      <c r="BS93" s="416">
        <f>H46</f>
        <v>148.54061489152963</v>
      </c>
      <c r="BT93" s="416">
        <f>H186</f>
        <v>148.54061489152966</v>
      </c>
      <c r="BU93" s="416">
        <f>H326</f>
        <v>148.54061489152969</v>
      </c>
      <c r="BV93" s="532"/>
      <c r="BW93" s="748">
        <f>H466</f>
        <v>148.54061489152969</v>
      </c>
      <c r="BY93" s="1718" t="str">
        <f>$C$46</f>
        <v>Air</v>
      </c>
      <c r="BZ93" s="1733">
        <f>K46</f>
        <v>1.584435115014464</v>
      </c>
      <c r="CA93" s="1733">
        <f>K186</f>
        <v>1.4474747739230494</v>
      </c>
      <c r="CB93" s="1733">
        <f>K326</f>
        <v>1.1826922764282228</v>
      </c>
      <c r="CC93" s="1733">
        <f t="shared" si="117"/>
        <v>0.98613353415244187</v>
      </c>
      <c r="CD93" s="1778">
        <f>K466</f>
        <v>0.78957479187666091</v>
      </c>
    </row>
    <row r="94" spans="3:94" ht="15.75" customHeight="1" thickBot="1" x14ac:dyDescent="0.3">
      <c r="C94" s="330"/>
      <c r="D94" s="701"/>
      <c r="E94" s="448"/>
      <c r="F94" s="371"/>
      <c r="G94" s="436"/>
      <c r="H94" s="828"/>
      <c r="I94" s="532"/>
      <c r="J94" s="366"/>
      <c r="K94" s="432"/>
      <c r="L94" s="432"/>
      <c r="M94" s="691"/>
      <c r="N94" s="448"/>
      <c r="O94" s="660"/>
      <c r="P94" s="538"/>
      <c r="Q94" s="473"/>
      <c r="R94" s="538"/>
      <c r="S94" s="661"/>
      <c r="T94" s="525"/>
      <c r="U94" s="368" t="s">
        <v>423</v>
      </c>
      <c r="V94" s="375">
        <v>0</v>
      </c>
      <c r="W94" s="694"/>
      <c r="X94" s="61"/>
      <c r="Y94" s="347">
        <f>Y15</f>
        <v>0.291528304581187</v>
      </c>
      <c r="Z94" s="61">
        <f>1/((AB94/37600)/0.84*1000)</f>
        <v>14.182325794962658</v>
      </c>
      <c r="AA94" s="61">
        <f t="shared" si="116"/>
        <v>0.44903513788508925</v>
      </c>
      <c r="AB94" s="61">
        <f>AB102/Y94*Y102</f>
        <v>2.2269972116433925</v>
      </c>
      <c r="AC94" s="61">
        <f>AC102/Y94*Y102</f>
        <v>4.639577524257068</v>
      </c>
      <c r="AD94" s="752">
        <f>AC94*V94*D85</f>
        <v>0</v>
      </c>
      <c r="AE94" s="720"/>
      <c r="AF94" s="721"/>
      <c r="AG94" s="721"/>
      <c r="AH94" s="721"/>
      <c r="AI94" s="722">
        <f>AD94</f>
        <v>0</v>
      </c>
      <c r="AJ94" s="721"/>
      <c r="AK94" s="721"/>
      <c r="AL94" s="721"/>
      <c r="AM94" s="721"/>
      <c r="AN94" s="721"/>
      <c r="AO94" s="721"/>
      <c r="AP94" s="721"/>
      <c r="AQ94" s="723"/>
      <c r="AR94" s="645">
        <f>V94*T85</f>
        <v>0</v>
      </c>
      <c r="AT94" s="273"/>
      <c r="AV94" s="228"/>
      <c r="AW94" s="228"/>
      <c r="AX94" s="228"/>
      <c r="AY94" s="228"/>
      <c r="BK94" s="956"/>
      <c r="BL94" s="956"/>
      <c r="BM94" s="956"/>
      <c r="BN94" s="956"/>
      <c r="BO94" s="956"/>
      <c r="BP94" s="956"/>
      <c r="BR94" s="1719" t="str">
        <f>$C$51</f>
        <v>Sea</v>
      </c>
      <c r="BS94" s="1720">
        <f>H51</f>
        <v>516.99030350587111</v>
      </c>
      <c r="BT94" s="1720">
        <f>H191</f>
        <v>516.99030350587111</v>
      </c>
      <c r="BU94" s="1720">
        <f>H331</f>
        <v>516.99030350587122</v>
      </c>
      <c r="BV94" s="1720"/>
      <c r="BW94" s="1721">
        <f>H471</f>
        <v>516.99030350587122</v>
      </c>
      <c r="BY94" s="1719" t="str">
        <f>$C$51</f>
        <v>Sea</v>
      </c>
      <c r="BZ94" s="1781">
        <f>K51</f>
        <v>2.9376057208014088</v>
      </c>
      <c r="CA94" s="1781">
        <f>K191</f>
        <v>2.7273207324159974</v>
      </c>
      <c r="CB94" s="1781">
        <f>K331</f>
        <v>2.4665399831969115</v>
      </c>
      <c r="CC94" s="1781">
        <f t="shared" si="117"/>
        <v>2.3715390555290692</v>
      </c>
      <c r="CD94" s="1782">
        <f>K471</f>
        <v>2.2765381278612269</v>
      </c>
    </row>
    <row r="95" spans="3:94" ht="15.75" customHeight="1" thickTop="1" thickBot="1" x14ac:dyDescent="0.3">
      <c r="C95" s="330"/>
      <c r="D95" s="701"/>
      <c r="E95" s="448"/>
      <c r="F95" s="371"/>
      <c r="G95" s="436"/>
      <c r="H95" s="828"/>
      <c r="I95" s="532"/>
      <c r="J95" s="366"/>
      <c r="K95" s="432"/>
      <c r="L95" s="432"/>
      <c r="M95" s="691"/>
      <c r="N95" s="448"/>
      <c r="O95" s="660"/>
      <c r="P95" s="538"/>
      <c r="Q95" s="473"/>
      <c r="R95" s="538"/>
      <c r="S95" s="661"/>
      <c r="T95" s="525"/>
      <c r="U95" s="368" t="s">
        <v>424</v>
      </c>
      <c r="V95" s="375">
        <v>0</v>
      </c>
      <c r="W95" s="694"/>
      <c r="X95" s="61"/>
      <c r="Y95" s="347">
        <f>Y16</f>
        <v>0.63339999999999996</v>
      </c>
      <c r="Z95" s="61">
        <f>1/((AB95/37600)/0.84*1000)</f>
        <v>30.813766681882068</v>
      </c>
      <c r="AA95" s="61">
        <f t="shared" si="116"/>
        <v>0.97561318015077458</v>
      </c>
      <c r="AB95" s="61">
        <f>AB102/Y95*Y102</f>
        <v>1.024996402616718</v>
      </c>
      <c r="AC95" s="61">
        <f>AC102/Y95*Y102</f>
        <v>2.1354091721181629</v>
      </c>
      <c r="AD95" s="752">
        <f>AC95*V95*D85</f>
        <v>0</v>
      </c>
      <c r="AE95" s="720"/>
      <c r="AF95" s="721"/>
      <c r="AG95" s="721"/>
      <c r="AH95" s="721"/>
      <c r="AI95" s="722">
        <f>AD95*$AW$17</f>
        <v>0</v>
      </c>
      <c r="AJ95" s="721"/>
      <c r="AK95" s="721"/>
      <c r="AL95" s="721"/>
      <c r="AM95" s="721"/>
      <c r="AN95" s="721"/>
      <c r="AO95" s="722">
        <f>AD95*$AX$17</f>
        <v>0</v>
      </c>
      <c r="AP95" s="721"/>
      <c r="AQ95" s="723"/>
      <c r="AR95" s="645">
        <f>V95*T85</f>
        <v>0</v>
      </c>
      <c r="AT95" s="226"/>
      <c r="AU95" s="226"/>
      <c r="AV95" s="228"/>
      <c r="AW95" s="228"/>
      <c r="AX95" s="228"/>
      <c r="AY95" s="228"/>
      <c r="BK95" s="956"/>
      <c r="BL95" s="956"/>
      <c r="BM95" s="956"/>
      <c r="BN95" s="956"/>
      <c r="BO95" s="956"/>
      <c r="BP95" s="956"/>
      <c r="BR95" s="1722" t="str">
        <f>$C$56</f>
        <v>Total</v>
      </c>
      <c r="BS95" s="706"/>
      <c r="BT95" s="706"/>
      <c r="BU95" s="706"/>
      <c r="BV95" s="706"/>
      <c r="BW95" s="1723"/>
      <c r="BY95" s="1722" t="str">
        <f>$C$56</f>
        <v>Total</v>
      </c>
      <c r="BZ95" s="706"/>
      <c r="CA95" s="706"/>
      <c r="CB95" s="706"/>
      <c r="CC95" s="706"/>
      <c r="CD95" s="1723"/>
    </row>
    <row r="96" spans="3:94" ht="15.75" customHeight="1" x14ac:dyDescent="0.25">
      <c r="C96" s="330"/>
      <c r="D96" s="701"/>
      <c r="E96" s="448"/>
      <c r="F96" s="371"/>
      <c r="G96" s="436"/>
      <c r="H96" s="828"/>
      <c r="I96" s="532"/>
      <c r="J96" s="366"/>
      <c r="K96" s="432"/>
      <c r="L96" s="432"/>
      <c r="M96" s="691"/>
      <c r="N96" s="448"/>
      <c r="O96" s="660"/>
      <c r="P96" s="538"/>
      <c r="Q96" s="473"/>
      <c r="R96" s="538"/>
      <c r="S96" s="661"/>
      <c r="T96" s="525"/>
      <c r="U96" s="368" t="s">
        <v>412</v>
      </c>
      <c r="V96" s="375">
        <v>0</v>
      </c>
      <c r="W96" s="694"/>
      <c r="X96" s="61">
        <f t="shared" ref="X96:AB97" si="118">X87</f>
        <v>0</v>
      </c>
      <c r="Y96" s="362">
        <f t="shared" si="118"/>
        <v>0.21035536566976626</v>
      </c>
      <c r="Z96" s="61">
        <f t="shared" si="118"/>
        <v>11.621450994291529</v>
      </c>
      <c r="AA96" s="61">
        <f t="shared" si="118"/>
        <v>0.32400610556182469</v>
      </c>
      <c r="AB96" s="61">
        <f t="shared" si="118"/>
        <v>3.0863615926805017</v>
      </c>
      <c r="AC96" s="61">
        <f>AB96/H85</f>
        <v>6.429919984751046</v>
      </c>
      <c r="AD96" s="752">
        <f>AC96*V96*D85</f>
        <v>0</v>
      </c>
      <c r="AE96" s="720"/>
      <c r="AF96" s="727"/>
      <c r="AG96" s="721"/>
      <c r="AH96" s="722">
        <f>AD96</f>
        <v>0</v>
      </c>
      <c r="AI96" s="721"/>
      <c r="AJ96" s="721"/>
      <c r="AK96" s="721"/>
      <c r="AL96" s="721"/>
      <c r="AM96" s="721"/>
      <c r="AN96" s="721"/>
      <c r="AO96" s="721"/>
      <c r="AP96" s="721"/>
      <c r="AQ96" s="723"/>
      <c r="AR96" s="645">
        <f>V96*T85</f>
        <v>0</v>
      </c>
      <c r="AT96" s="1526"/>
      <c r="AU96" s="1526"/>
      <c r="AV96" s="228"/>
      <c r="AW96" s="228"/>
      <c r="AX96" s="228"/>
      <c r="AY96" s="228"/>
      <c r="AZ96"/>
      <c r="BA96"/>
      <c r="BB96"/>
      <c r="BC96"/>
      <c r="BD96" s="956"/>
      <c r="BE96" s="956"/>
      <c r="BF96" s="956"/>
      <c r="BG96" s="956"/>
      <c r="BH96" s="956"/>
      <c r="BI96" s="956"/>
      <c r="BJ96" s="956"/>
      <c r="BK96" s="956"/>
      <c r="BL96" s="956"/>
      <c r="BM96" s="956"/>
      <c r="BN96" s="956"/>
      <c r="BO96" s="956"/>
      <c r="BP96" s="956"/>
      <c r="BQ96" s="956"/>
      <c r="BR96" s="346"/>
      <c r="BS96" s="517"/>
      <c r="BT96" s="517"/>
      <c r="BU96" s="517"/>
      <c r="BV96" s="346"/>
      <c r="BW96" s="517"/>
    </row>
    <row r="97" spans="3:125" ht="15.75" customHeight="1" thickBot="1" x14ac:dyDescent="0.3">
      <c r="C97" s="330"/>
      <c r="D97" s="701"/>
      <c r="E97" s="448"/>
      <c r="F97" s="371"/>
      <c r="G97" s="436"/>
      <c r="H97" s="828"/>
      <c r="I97" s="532"/>
      <c r="J97" s="1525"/>
      <c r="K97" s="432"/>
      <c r="L97" s="432"/>
      <c r="M97" s="691"/>
      <c r="N97" s="448"/>
      <c r="O97" s="660"/>
      <c r="P97" s="538"/>
      <c r="Q97" s="473"/>
      <c r="R97" s="538"/>
      <c r="S97" s="661"/>
      <c r="T97" s="525"/>
      <c r="U97" s="368" t="s">
        <v>413</v>
      </c>
      <c r="V97" s="375">
        <v>0</v>
      </c>
      <c r="W97" s="694"/>
      <c r="X97" s="61">
        <f t="shared" si="118"/>
        <v>0</v>
      </c>
      <c r="Y97" s="362">
        <f t="shared" si="118"/>
        <v>0.291528304581187</v>
      </c>
      <c r="Z97" s="61">
        <f t="shared" si="118"/>
        <v>16.105992325662378</v>
      </c>
      <c r="AA97" s="61">
        <f t="shared" si="118"/>
        <v>0.44903513788508925</v>
      </c>
      <c r="AB97" s="61">
        <f t="shared" si="118"/>
        <v>2.2269972116433925</v>
      </c>
      <c r="AC97" s="61">
        <f>AB97/H85</f>
        <v>4.639577524257068</v>
      </c>
      <c r="AD97" s="752">
        <f>AC97*V97*D85</f>
        <v>0</v>
      </c>
      <c r="AE97" s="720"/>
      <c r="AF97" s="727"/>
      <c r="AG97" s="721"/>
      <c r="AH97" s="722">
        <f>AD97</f>
        <v>0</v>
      </c>
      <c r="AI97" s="721"/>
      <c r="AJ97" s="721"/>
      <c r="AK97" s="721"/>
      <c r="AL97" s="721"/>
      <c r="AM97" s="721"/>
      <c r="AN97" s="721"/>
      <c r="AO97" s="721"/>
      <c r="AP97" s="721"/>
      <c r="AQ97" s="723"/>
      <c r="AR97" s="645">
        <f>V97*T85</f>
        <v>0</v>
      </c>
      <c r="AS97" s="32"/>
      <c r="AT97" s="226"/>
      <c r="AU97" s="226"/>
      <c r="AV97" s="228"/>
      <c r="AW97" s="228"/>
      <c r="AX97" s="228"/>
      <c r="AY97" s="228"/>
      <c r="AZ97" s="956"/>
      <c r="BA97" s="956"/>
      <c r="BB97" s="956"/>
      <c r="BC97" s="956"/>
      <c r="BD97" s="956"/>
      <c r="BE97" s="956"/>
      <c r="BF97" s="956"/>
      <c r="BG97" s="956"/>
      <c r="BH97" s="956"/>
      <c r="BI97" s="956"/>
      <c r="BJ97" s="956"/>
      <c r="BK97" s="956"/>
      <c r="BL97" s="956"/>
      <c r="BM97" s="956"/>
      <c r="BN97" s="956"/>
      <c r="BO97" s="956"/>
      <c r="BP97" s="956"/>
      <c r="BQ97" s="956"/>
      <c r="BR97" s="956"/>
      <c r="BS97" s="956"/>
      <c r="BT97" s="956"/>
      <c r="BV97" s="956"/>
      <c r="BW97" s="956"/>
    </row>
    <row r="98" spans="3:125" ht="15.75" customHeight="1" thickBot="1" x14ac:dyDescent="0.3">
      <c r="C98" s="330"/>
      <c r="D98" s="701"/>
      <c r="E98" s="448"/>
      <c r="F98" s="371"/>
      <c r="G98" s="436"/>
      <c r="H98" s="828"/>
      <c r="I98" s="532"/>
      <c r="J98" s="366"/>
      <c r="K98" s="432"/>
      <c r="L98" s="432"/>
      <c r="M98" s="691"/>
      <c r="N98" s="448"/>
      <c r="O98" s="660"/>
      <c r="P98" s="538"/>
      <c r="Q98" s="473"/>
      <c r="R98" s="538"/>
      <c r="S98" s="661"/>
      <c r="T98" s="525"/>
      <c r="U98" s="368" t="s">
        <v>414</v>
      </c>
      <c r="V98" s="375">
        <v>0</v>
      </c>
      <c r="W98" s="694"/>
      <c r="X98" s="61">
        <f>X87</f>
        <v>0</v>
      </c>
      <c r="Y98" s="362">
        <f>Y95</f>
        <v>0.63339999999999996</v>
      </c>
      <c r="Z98" s="61">
        <f>Z89</f>
        <v>34.993293545647987</v>
      </c>
      <c r="AA98" s="61">
        <f>AA89</f>
        <v>0.97561318015077458</v>
      </c>
      <c r="AB98" s="61">
        <f>AB89</f>
        <v>1.024996402616718</v>
      </c>
      <c r="AC98" s="61">
        <f>AB98/H85</f>
        <v>2.1354091721181629</v>
      </c>
      <c r="AD98" s="752">
        <f>AC98*V98*D85</f>
        <v>0</v>
      </c>
      <c r="AE98" s="720"/>
      <c r="AF98" s="727"/>
      <c r="AG98" s="721"/>
      <c r="AH98" s="722">
        <f>AD98*$AW$17</f>
        <v>0</v>
      </c>
      <c r="AI98" s="721"/>
      <c r="AJ98" s="721"/>
      <c r="AK98" s="721"/>
      <c r="AL98" s="721"/>
      <c r="AM98" s="721"/>
      <c r="AN98" s="721"/>
      <c r="AO98" s="722">
        <f>AD98*$AX$17</f>
        <v>0</v>
      </c>
      <c r="AP98" s="721"/>
      <c r="AQ98" s="723"/>
      <c r="AR98" s="645">
        <f>V98*T85</f>
        <v>0</v>
      </c>
      <c r="AS98" s="32"/>
      <c r="AT98" s="894"/>
      <c r="AU98" s="894"/>
      <c r="AV98" s="228"/>
      <c r="AW98" s="228"/>
      <c r="AX98" s="228"/>
      <c r="AY98" s="228"/>
      <c r="AZ98"/>
      <c r="BA98"/>
      <c r="BB98"/>
      <c r="BC98"/>
      <c r="BD98" s="956"/>
      <c r="BE98" s="956"/>
      <c r="BF98" s="956"/>
      <c r="BG98" s="956"/>
      <c r="BH98" s="956"/>
      <c r="BI98" s="956"/>
      <c r="BJ98" s="956"/>
      <c r="BK98" s="956"/>
      <c r="BL98" s="956"/>
      <c r="BM98" s="956"/>
      <c r="BN98" s="956"/>
      <c r="BO98" s="956"/>
      <c r="BP98" s="956"/>
      <c r="BQ98" s="956"/>
      <c r="BR98" s="1971" t="s">
        <v>513</v>
      </c>
      <c r="BS98" s="1972"/>
      <c r="BT98" s="1972"/>
      <c r="BU98" s="1972"/>
      <c r="BV98" s="1972"/>
      <c r="BW98" s="1973"/>
      <c r="BY98" s="1971" t="s">
        <v>514</v>
      </c>
      <c r="BZ98" s="1972"/>
      <c r="CA98" s="1972"/>
      <c r="CB98" s="1972"/>
      <c r="CC98" s="1972"/>
      <c r="CD98" s="1973"/>
    </row>
    <row r="99" spans="3:125" ht="15.75" customHeight="1" x14ac:dyDescent="0.25">
      <c r="C99" s="330"/>
      <c r="D99" s="701"/>
      <c r="E99" s="448"/>
      <c r="F99" s="371"/>
      <c r="G99" s="436"/>
      <c r="H99" s="828"/>
      <c r="I99" s="532"/>
      <c r="J99" s="895"/>
      <c r="K99" s="432"/>
      <c r="L99" s="432"/>
      <c r="M99" s="691"/>
      <c r="N99" s="448"/>
      <c r="O99" s="660"/>
      <c r="P99" s="538"/>
      <c r="Q99" s="473"/>
      <c r="R99" s="538"/>
      <c r="S99" s="661"/>
      <c r="T99" s="525"/>
      <c r="U99" s="368" t="s">
        <v>410</v>
      </c>
      <c r="V99" s="375">
        <v>0</v>
      </c>
      <c r="W99" s="694"/>
      <c r="X99" s="61"/>
      <c r="Y99" s="347">
        <f>Y20</f>
        <v>0.5</v>
      </c>
      <c r="Z99" s="61"/>
      <c r="AA99" s="61">
        <f>1/AB99</f>
        <v>0.77013986434383852</v>
      </c>
      <c r="AB99" s="61">
        <f>AB102/Y99*Y102</f>
        <v>1.2984654428348583</v>
      </c>
      <c r="AC99" s="61">
        <f>AC102/Y99*Y102</f>
        <v>2.7051363392392886</v>
      </c>
      <c r="AD99" s="752">
        <f>AC99*V99*D85</f>
        <v>0</v>
      </c>
      <c r="AE99" s="720"/>
      <c r="AF99" s="721"/>
      <c r="AG99" s="721"/>
      <c r="AH99" s="722">
        <f>AD99</f>
        <v>0</v>
      </c>
      <c r="AI99" s="721"/>
      <c r="AJ99" s="721"/>
      <c r="AK99" s="721"/>
      <c r="AL99" s="721"/>
      <c r="AM99" s="721"/>
      <c r="AN99" s="721"/>
      <c r="AO99" s="721"/>
      <c r="AP99" s="721"/>
      <c r="AQ99" s="721"/>
      <c r="AR99" s="645">
        <f>V99*T85</f>
        <v>0</v>
      </c>
      <c r="AS99" s="32"/>
      <c r="AT99" s="894"/>
      <c r="AU99" s="894"/>
      <c r="AV99" s="228"/>
      <c r="AW99" s="228"/>
      <c r="AX99" s="228"/>
      <c r="AY99" s="228"/>
      <c r="AZ99" s="896"/>
      <c r="BA99" s="896"/>
      <c r="BB99" s="896"/>
      <c r="BC99" s="896"/>
      <c r="BD99" s="956"/>
      <c r="BE99" s="956"/>
      <c r="BF99" s="956"/>
      <c r="BG99" s="956"/>
      <c r="BH99" s="956"/>
      <c r="BI99" s="956"/>
      <c r="BJ99" s="956"/>
      <c r="BK99" s="956"/>
      <c r="BL99" s="956"/>
      <c r="BM99" s="956"/>
      <c r="BN99" s="956"/>
      <c r="BO99" s="956"/>
      <c r="BP99" s="956"/>
      <c r="BQ99" s="956"/>
      <c r="BR99" s="1724" t="s">
        <v>454</v>
      </c>
      <c r="BS99" s="1705">
        <f>BS88</f>
        <v>2010</v>
      </c>
      <c r="BT99" s="1705">
        <f>BT88</f>
        <v>2020</v>
      </c>
      <c r="BU99" s="1705">
        <f>BU88</f>
        <v>2030</v>
      </c>
      <c r="BV99" s="1705">
        <f>BV88</f>
        <v>2040</v>
      </c>
      <c r="BW99" s="1706">
        <f>BW88</f>
        <v>2050</v>
      </c>
      <c r="BY99" s="1724" t="s">
        <v>454</v>
      </c>
      <c r="BZ99" s="1705">
        <v>2010</v>
      </c>
      <c r="CA99" s="1705">
        <v>2020</v>
      </c>
      <c r="CB99" s="1705">
        <v>2030</v>
      </c>
      <c r="CC99" s="1705">
        <v>2040</v>
      </c>
      <c r="CD99" s="1706">
        <v>2050</v>
      </c>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row>
    <row r="100" spans="3:125" ht="15.75" customHeight="1" x14ac:dyDescent="0.25">
      <c r="C100" s="330"/>
      <c r="D100" s="701"/>
      <c r="E100" s="448"/>
      <c r="F100" s="371"/>
      <c r="G100" s="436"/>
      <c r="H100" s="828"/>
      <c r="I100" s="532"/>
      <c r="J100" s="895"/>
      <c r="K100" s="432"/>
      <c r="L100" s="432"/>
      <c r="M100" s="691"/>
      <c r="N100" s="448"/>
      <c r="O100" s="660"/>
      <c r="P100" s="538"/>
      <c r="Q100" s="473"/>
      <c r="R100" s="538"/>
      <c r="S100" s="661"/>
      <c r="T100" s="525"/>
      <c r="U100" s="368" t="s">
        <v>411</v>
      </c>
      <c r="V100" s="375">
        <v>0</v>
      </c>
      <c r="W100" s="694"/>
      <c r="X100" s="61"/>
      <c r="Y100" s="347">
        <f>Y21</f>
        <v>0.71132403551089718</v>
      </c>
      <c r="Z100" s="61"/>
      <c r="AA100" s="61">
        <f>1/AB100</f>
        <v>1.0956379924257484</v>
      </c>
      <c r="AB100" s="61">
        <f>AB102/Y100*Y102</f>
        <v>0.91271022629107146</v>
      </c>
      <c r="AC100" s="61">
        <f>AC102/Y100*Y102</f>
        <v>1.9014796381063994</v>
      </c>
      <c r="AD100" s="752">
        <f>AC100*V100*D85</f>
        <v>0</v>
      </c>
      <c r="AE100" s="720"/>
      <c r="AF100" s="721"/>
      <c r="AG100" s="721"/>
      <c r="AH100" s="722">
        <f>AD100*$AU$17</f>
        <v>0</v>
      </c>
      <c r="AI100" s="721"/>
      <c r="AJ100" s="721"/>
      <c r="AK100" s="721"/>
      <c r="AL100" s="721"/>
      <c r="AM100" s="721"/>
      <c r="AN100" s="721"/>
      <c r="AO100" s="722">
        <f>AD100*$AV$17</f>
        <v>0</v>
      </c>
      <c r="AP100" s="721"/>
      <c r="AQ100" s="721"/>
      <c r="AR100" s="645">
        <f>V100*T85</f>
        <v>0</v>
      </c>
      <c r="AS100" s="32"/>
      <c r="AT100" s="894"/>
      <c r="AU100" s="894"/>
      <c r="AV100" s="228"/>
      <c r="AW100" s="228"/>
      <c r="AX100" s="228"/>
      <c r="AY100" s="228"/>
      <c r="AZ100" s="896"/>
      <c r="BA100" s="896"/>
      <c r="BB100" s="896"/>
      <c r="BC100" s="896"/>
      <c r="BD100" s="956"/>
      <c r="BE100" s="956"/>
      <c r="BF100" s="956"/>
      <c r="BG100" s="956"/>
      <c r="BH100" s="956"/>
      <c r="BI100" s="956"/>
      <c r="BJ100" s="956"/>
      <c r="BQ100" s="956"/>
      <c r="BR100" s="1707" t="str">
        <f>$C$85</f>
        <v>Vans (2-6 t)</v>
      </c>
      <c r="BS100" s="532">
        <f>H61</f>
        <v>8.4330009796130749</v>
      </c>
      <c r="BT100" s="532">
        <f>H201</f>
        <v>8.4577373030001262</v>
      </c>
      <c r="BU100" s="532">
        <f>H341</f>
        <v>8.4797857130958114</v>
      </c>
      <c r="BV100" s="532"/>
      <c r="BW100" s="748">
        <f>H481</f>
        <v>8.4996705066886342</v>
      </c>
      <c r="BY100" s="1707" t="str">
        <f>$C$85</f>
        <v>Vans (2-6 t)</v>
      </c>
      <c r="BZ100" s="829">
        <f>K61</f>
        <v>2.3961024595554452</v>
      </c>
      <c r="CA100" s="829">
        <f>K201</f>
        <v>2.0868960599723509</v>
      </c>
      <c r="CB100" s="829">
        <f>K341</f>
        <v>1.7769751261763247</v>
      </c>
      <c r="CC100" s="829">
        <f>AVERAGE(CB100,CD100)</f>
        <v>1.6628215824556882</v>
      </c>
      <c r="CD100" s="1725">
        <f>K481</f>
        <v>1.5486680387350515</v>
      </c>
      <c r="CE100" s="48">
        <f>CD100/BZ100</f>
        <v>0.64632797005783293</v>
      </c>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row>
    <row r="101" spans="3:125" ht="15.75" customHeight="1" thickBot="1" x14ac:dyDescent="0.3">
      <c r="C101" s="330"/>
      <c r="D101" s="701"/>
      <c r="E101" s="448"/>
      <c r="F101" s="371"/>
      <c r="G101" s="436"/>
      <c r="H101" s="828"/>
      <c r="I101" s="532"/>
      <c r="J101" s="895"/>
      <c r="K101" s="432"/>
      <c r="L101" s="432"/>
      <c r="M101" s="691"/>
      <c r="N101" s="448"/>
      <c r="O101" s="660"/>
      <c r="P101" s="538"/>
      <c r="Q101" s="473"/>
      <c r="R101" s="538"/>
      <c r="S101" s="661"/>
      <c r="T101" s="525"/>
      <c r="U101" s="368" t="s">
        <v>85</v>
      </c>
      <c r="V101" s="295">
        <v>0</v>
      </c>
      <c r="W101" s="694"/>
      <c r="X101" s="61"/>
      <c r="Y101" s="347">
        <f>Y22</f>
        <v>0.16020431098010321</v>
      </c>
      <c r="Z101" s="61"/>
      <c r="AA101" s="61">
        <f>1/AB101</f>
        <v>0.24675945265102964</v>
      </c>
      <c r="AB101" s="61">
        <f>AB102/Y101*Y102</f>
        <v>4.0525296569457572</v>
      </c>
      <c r="AC101" s="61">
        <f>AC102/Y101*Y102</f>
        <v>8.4427701186369966</v>
      </c>
      <c r="AD101" s="752">
        <f>AC101*V101*D85</f>
        <v>0</v>
      </c>
      <c r="AE101" s="720"/>
      <c r="AF101" s="721"/>
      <c r="AG101" s="721"/>
      <c r="AH101" s="721"/>
      <c r="AI101" s="721"/>
      <c r="AJ101" s="721"/>
      <c r="AK101" s="721"/>
      <c r="AL101" s="722">
        <f>AD101</f>
        <v>0</v>
      </c>
      <c r="AM101" s="721"/>
      <c r="AN101" s="721"/>
      <c r="AO101" s="721"/>
      <c r="AP101" s="721"/>
      <c r="AQ101" s="723"/>
      <c r="AR101" s="645">
        <f>V101*T85</f>
        <v>0</v>
      </c>
      <c r="AS101" s="32"/>
      <c r="AT101" s="273"/>
      <c r="AU101" s="273"/>
      <c r="AV101" s="228"/>
      <c r="AW101" s="228"/>
      <c r="AX101" s="228"/>
      <c r="AY101" s="228"/>
      <c r="AZ101" s="896"/>
      <c r="BA101" s="896"/>
      <c r="BB101" s="896"/>
      <c r="BC101" s="896"/>
      <c r="BD101" s="956"/>
      <c r="BE101" s="956"/>
      <c r="BF101" s="956"/>
      <c r="BG101" s="956"/>
      <c r="BH101" s="956"/>
      <c r="BI101" s="956"/>
      <c r="BJ101" s="956"/>
      <c r="BQ101" s="956"/>
      <c r="BR101" s="1707" t="str">
        <f>$C$61</f>
        <v>National truck</v>
      </c>
      <c r="BS101" s="532">
        <f>H73</f>
        <v>15.571891494167193</v>
      </c>
      <c r="BT101" s="532">
        <f>H213</f>
        <v>15.818790454234636</v>
      </c>
      <c r="BU101" s="532">
        <f>H353</f>
        <v>16.076350215341176</v>
      </c>
      <c r="BV101" s="532"/>
      <c r="BW101" s="748">
        <f>H493</f>
        <v>16.328337913312858</v>
      </c>
      <c r="BY101" s="1707" t="str">
        <f>$C$61</f>
        <v>National truck</v>
      </c>
      <c r="BZ101" s="829">
        <f>K73</f>
        <v>1.6780196872349427</v>
      </c>
      <c r="CA101" s="829">
        <f>K213</f>
        <v>1.458742324019674</v>
      </c>
      <c r="CB101" s="829">
        <f>K353</f>
        <v>1.2286467178448546</v>
      </c>
      <c r="CC101" s="829">
        <f t="shared" ref="CC101:CC108" si="119">AVERAGE(CB101,CD101)</f>
        <v>1.1416889259130238</v>
      </c>
      <c r="CD101" s="1725">
        <f>K493</f>
        <v>1.0547311339811933</v>
      </c>
      <c r="CE101" s="48">
        <f>CD101/BZ101</f>
        <v>0.62855706759864638</v>
      </c>
    </row>
    <row r="102" spans="3:125" ht="15.75" customHeight="1" x14ac:dyDescent="0.25">
      <c r="C102" s="333"/>
      <c r="D102" s="702"/>
      <c r="E102" s="456"/>
      <c r="F102" s="415"/>
      <c r="G102" s="443"/>
      <c r="H102" s="825"/>
      <c r="I102" s="705"/>
      <c r="J102" s="390"/>
      <c r="K102" s="439"/>
      <c r="L102" s="439"/>
      <c r="M102" s="695"/>
      <c r="N102" s="456"/>
      <c r="O102" s="662"/>
      <c r="P102" s="692"/>
      <c r="Q102" s="663"/>
      <c r="R102" s="692"/>
      <c r="S102" s="664"/>
      <c r="T102" s="525"/>
      <c r="U102" s="391" t="s">
        <v>57</v>
      </c>
      <c r="V102" s="410">
        <f>1-SUM(V86:V101)</f>
        <v>1</v>
      </c>
      <c r="W102" s="532">
        <f>AB102*73.5</f>
        <v>352.7999999999999</v>
      </c>
      <c r="X102" s="616"/>
      <c r="Y102" s="58">
        <f>Y23</f>
        <v>0.13525681696196443</v>
      </c>
      <c r="Z102" s="411"/>
      <c r="AA102" s="411"/>
      <c r="AB102" s="411">
        <f>L85</f>
        <v>4.7999999999999989</v>
      </c>
      <c r="AC102" s="432">
        <f>K85</f>
        <v>10</v>
      </c>
      <c r="AD102" s="748">
        <f>AC102*V102*D85</f>
        <v>40565</v>
      </c>
      <c r="AE102" s="728">
        <f>+AD102*Q87</f>
        <v>5679.1</v>
      </c>
      <c r="AF102" s="729">
        <f>AD102*Q86</f>
        <v>34683.074999999997</v>
      </c>
      <c r="AG102" s="730"/>
      <c r="AH102" s="730"/>
      <c r="AI102" s="893"/>
      <c r="AJ102" s="729">
        <f>AD102*Q88</f>
        <v>0</v>
      </c>
      <c r="AK102" s="729">
        <f>AD102*Q89</f>
        <v>202.82500000000002</v>
      </c>
      <c r="AL102" s="730"/>
      <c r="AM102" s="730"/>
      <c r="AN102" s="730"/>
      <c r="AO102" s="730"/>
      <c r="AP102" s="730"/>
      <c r="AQ102" s="731"/>
      <c r="AR102" s="645">
        <f>T85-SUM(V86:V101)*T85</f>
        <v>462359</v>
      </c>
      <c r="AV102" s="228"/>
      <c r="AW102" s="228"/>
      <c r="AX102" s="228"/>
      <c r="AY102" s="228"/>
      <c r="BR102" s="1707" t="str">
        <f>$C$73</f>
        <v>International truck</v>
      </c>
      <c r="BS102" s="532">
        <f>H85</f>
        <v>0.47999999999999993</v>
      </c>
      <c r="BT102" s="532">
        <f>H225</f>
        <v>0.48</v>
      </c>
      <c r="BU102" s="532">
        <f>H365</f>
        <v>0.48</v>
      </c>
      <c r="BV102" s="532"/>
      <c r="BW102" s="748">
        <f>H505</f>
        <v>0.48</v>
      </c>
      <c r="BY102" s="1707" t="str">
        <f>$C$73</f>
        <v>International truck</v>
      </c>
      <c r="BZ102" s="829">
        <f>K85</f>
        <v>10</v>
      </c>
      <c r="CA102" s="829">
        <f>K225</f>
        <v>8.641045384735067</v>
      </c>
      <c r="CB102" s="829">
        <f>K365</f>
        <v>7.4667665341051181</v>
      </c>
      <c r="CC102" s="829">
        <f t="shared" si="119"/>
        <v>7.1791775421359763</v>
      </c>
      <c r="CD102" s="1725">
        <f>K505</f>
        <v>6.8915885501668352</v>
      </c>
      <c r="CE102" s="48">
        <f>CD102/BZ102</f>
        <v>0.6891588550166835</v>
      </c>
    </row>
    <row r="103" spans="3:125" ht="15.75" customHeight="1" thickBot="1" x14ac:dyDescent="0.3">
      <c r="C103" s="331" t="s">
        <v>24</v>
      </c>
      <c r="D103" s="698">
        <v>167</v>
      </c>
      <c r="E103" s="392">
        <f>D103/D141</f>
        <v>1.9260050429155153E-3</v>
      </c>
      <c r="F103" s="1329">
        <f>((F104*I104)+(F105*I105)+(F106*I106))/(I104+I105+I106)</f>
        <v>750</v>
      </c>
      <c r="G103" s="1320">
        <f>H103/F103</f>
        <v>0.37</v>
      </c>
      <c r="H103" s="1328">
        <f>((H104*I104)+(H105*I105)+(H106*I106))/(I104+I105+I106)</f>
        <v>277.5</v>
      </c>
      <c r="I103" s="759">
        <f>D103/H103</f>
        <v>0.60180180180180176</v>
      </c>
      <c r="J103" s="795">
        <f>J105+J104</f>
        <v>5.8508381759712522E-5</v>
      </c>
      <c r="K103" s="1324">
        <f>L103/H103</f>
        <v>0.40271895495495497</v>
      </c>
      <c r="L103" s="1328">
        <f>((L104*I104)+(L105*I105)+(L106*I106))/(I104+I105+I106)</f>
        <v>111.75451</v>
      </c>
      <c r="M103" s="759">
        <f>SUM(M104:M105)</f>
        <v>67.254065477477468</v>
      </c>
      <c r="N103" s="392">
        <f>M103/M141</f>
        <v>5.6548753493264401E-4</v>
      </c>
      <c r="O103" s="667" t="s">
        <v>60</v>
      </c>
      <c r="P103" s="757">
        <f>SUM(P104:P105)</f>
        <v>67.254065477477468</v>
      </c>
      <c r="Q103" s="809">
        <f>SUM(Q104:Q105)</f>
        <v>1</v>
      </c>
      <c r="R103" s="757">
        <f>SUM(R104:R105)</f>
        <v>167</v>
      </c>
      <c r="S103" s="795">
        <f>SUM(S104:S105)</f>
        <v>1</v>
      </c>
      <c r="T103" s="680"/>
      <c r="U103" s="672" t="s">
        <v>56</v>
      </c>
      <c r="V103" s="619"/>
      <c r="W103" s="762"/>
      <c r="X103" s="447"/>
      <c r="Y103" s="619"/>
      <c r="Z103" s="447"/>
      <c r="AA103" s="447"/>
      <c r="AB103" s="620"/>
      <c r="AC103" s="620"/>
      <c r="AD103" s="749">
        <f>SUM(AD104:AD108)</f>
        <v>67.254065477477482</v>
      </c>
      <c r="AE103" s="725"/>
      <c r="AF103" s="721"/>
      <c r="AG103" s="721"/>
      <c r="AH103" s="721"/>
      <c r="AI103" s="721"/>
      <c r="AJ103" s="721"/>
      <c r="AK103" s="721"/>
      <c r="AL103" s="721"/>
      <c r="AM103" s="721"/>
      <c r="AN103" s="721"/>
      <c r="AO103" s="721"/>
      <c r="AP103" s="721"/>
      <c r="AQ103" s="721"/>
      <c r="AR103" s="651"/>
      <c r="AV103" s="228"/>
      <c r="AW103" s="228"/>
      <c r="AX103" s="228"/>
      <c r="AY103" s="228"/>
      <c r="BR103" s="1707" t="str">
        <f>$C$103</f>
        <v xml:space="preserve">National rail </v>
      </c>
      <c r="BS103" s="532">
        <f>H103</f>
        <v>277.5</v>
      </c>
      <c r="BT103" s="532">
        <f>H243</f>
        <v>277.49999999999994</v>
      </c>
      <c r="BU103" s="532">
        <f>H383</f>
        <v>277.5</v>
      </c>
      <c r="BV103" s="532"/>
      <c r="BW103" s="1717">
        <f>H523</f>
        <v>277.5</v>
      </c>
      <c r="BY103" s="1707" t="str">
        <f>$C$103</f>
        <v xml:space="preserve">National rail </v>
      </c>
      <c r="BZ103" s="829">
        <f>K103</f>
        <v>0.40271895495495497</v>
      </c>
      <c r="CA103" s="829">
        <f>K243</f>
        <v>0.35147747747747754</v>
      </c>
      <c r="CB103" s="829">
        <f>K383</f>
        <v>0.33009009009009005</v>
      </c>
      <c r="CC103" s="829">
        <f t="shared" si="119"/>
        <v>0.33004504504504506</v>
      </c>
      <c r="CD103" s="1779">
        <f>K523</f>
        <v>0.33</v>
      </c>
    </row>
    <row r="104" spans="3:125" ht="15.75" customHeight="1" x14ac:dyDescent="0.25">
      <c r="C104" s="330" t="s">
        <v>23</v>
      </c>
      <c r="D104" s="699">
        <f>0.17*D103</f>
        <v>28.39</v>
      </c>
      <c r="E104" s="448">
        <f>D104/D141</f>
        <v>3.2742085729563762E-4</v>
      </c>
      <c r="F104" s="691">
        <v>750</v>
      </c>
      <c r="G104" s="425">
        <v>0.37</v>
      </c>
      <c r="H104" s="829">
        <f>F104*G104</f>
        <v>277.5</v>
      </c>
      <c r="I104" s="532">
        <f>D104/H104</f>
        <v>0.10230630630630631</v>
      </c>
      <c r="J104" s="858">
        <f>I104/I141</f>
        <v>9.9464248991511293E-6</v>
      </c>
      <c r="K104" s="432">
        <f>L104/H104</f>
        <v>0.75775855855855856</v>
      </c>
      <c r="L104" s="430">
        <v>210.27799999999999</v>
      </c>
      <c r="M104" s="691">
        <f>D104*K104</f>
        <v>21.51276547747748</v>
      </c>
      <c r="N104" s="448">
        <f>M104/M141</f>
        <v>1.8088424295356235E-4</v>
      </c>
      <c r="O104" s="660" t="s">
        <v>3</v>
      </c>
      <c r="P104" s="538">
        <f>M104</f>
        <v>21.51276547747748</v>
      </c>
      <c r="Q104" s="473">
        <f>P104/SUM(P104:P105)</f>
        <v>0.31987308610632365</v>
      </c>
      <c r="R104" s="538">
        <f>D104</f>
        <v>28.39</v>
      </c>
      <c r="S104" s="365">
        <f>R104/SUM(R104:R105)</f>
        <v>0.17</v>
      </c>
      <c r="T104" s="525"/>
      <c r="U104" s="368" t="s">
        <v>415</v>
      </c>
      <c r="V104" s="294">
        <v>0</v>
      </c>
      <c r="W104" s="532"/>
      <c r="X104" s="4"/>
      <c r="Y104" s="4"/>
      <c r="Z104" s="432"/>
      <c r="AA104" s="432"/>
      <c r="AB104" s="432">
        <f>L104</f>
        <v>210.27799999999999</v>
      </c>
      <c r="AC104" s="432">
        <f>K104</f>
        <v>0.75775855855855856</v>
      </c>
      <c r="AD104" s="748">
        <f>AC104*D103*V104</f>
        <v>0</v>
      </c>
      <c r="AE104" s="725"/>
      <c r="AF104" s="721"/>
      <c r="AG104" s="721"/>
      <c r="AH104" s="722">
        <f>AD104</f>
        <v>0</v>
      </c>
      <c r="AJ104" s="721"/>
      <c r="AK104" s="721"/>
      <c r="AL104" s="721"/>
      <c r="AM104" s="721"/>
      <c r="AN104" s="721"/>
      <c r="AO104" s="721"/>
      <c r="AP104" s="721"/>
      <c r="AQ104" s="721"/>
      <c r="AR104" s="649"/>
      <c r="AT104" s="226"/>
      <c r="AU104" s="226"/>
      <c r="AV104" s="228"/>
      <c r="AW104" s="228"/>
      <c r="AX104" s="228"/>
      <c r="AY104" s="228"/>
      <c r="BR104" s="1707" t="str">
        <f>$BR$35</f>
        <v>International rail</v>
      </c>
      <c r="BS104" s="532">
        <f>H109</f>
        <v>370</v>
      </c>
      <c r="BT104" s="532">
        <f>H249</f>
        <v>370</v>
      </c>
      <c r="BU104" s="532">
        <f>H389</f>
        <v>370</v>
      </c>
      <c r="BV104" s="532"/>
      <c r="BW104" s="748">
        <f>H529</f>
        <v>370</v>
      </c>
      <c r="BX104" s="48"/>
      <c r="BY104" s="1707" t="str">
        <f>BR104</f>
        <v>International rail</v>
      </c>
      <c r="BZ104" s="829">
        <f>K109</f>
        <v>0.27999999999999997</v>
      </c>
      <c r="CA104" s="829">
        <f>K249</f>
        <v>0.27999999999999997</v>
      </c>
      <c r="CB104" s="829">
        <f>K389</f>
        <v>0.27999999999999997</v>
      </c>
      <c r="CC104" s="829">
        <f t="shared" si="119"/>
        <v>0.27999999999999997</v>
      </c>
      <c r="CD104" s="1725">
        <f>K529</f>
        <v>0.27999999999999997</v>
      </c>
    </row>
    <row r="105" spans="3:125" ht="15.75" customHeight="1" thickBot="1" x14ac:dyDescent="0.3">
      <c r="C105" s="330" t="s">
        <v>25</v>
      </c>
      <c r="D105" s="699">
        <f>0.83*D103</f>
        <v>138.60999999999999</v>
      </c>
      <c r="E105" s="448">
        <f>D105/D141</f>
        <v>1.5985841856198774E-3</v>
      </c>
      <c r="F105" s="691">
        <v>750</v>
      </c>
      <c r="G105" s="426">
        <v>0.37</v>
      </c>
      <c r="H105" s="829">
        <f>F105*G105</f>
        <v>277.5</v>
      </c>
      <c r="I105" s="532">
        <f>D105/H105</f>
        <v>0.49949549549549543</v>
      </c>
      <c r="J105" s="858">
        <f>I105/I141</f>
        <v>4.8561956860561391E-5</v>
      </c>
      <c r="K105" s="432">
        <f>L105/H105</f>
        <v>0.33</v>
      </c>
      <c r="L105" s="434">
        <v>91.575000000000003</v>
      </c>
      <c r="M105" s="691">
        <f>D105*K105</f>
        <v>45.741299999999995</v>
      </c>
      <c r="N105" s="448">
        <f>M105/M141</f>
        <v>3.8460329197908172E-4</v>
      </c>
      <c r="O105" s="660" t="s">
        <v>5</v>
      </c>
      <c r="P105" s="538">
        <f>M105</f>
        <v>45.741299999999995</v>
      </c>
      <c r="Q105" s="473">
        <f>P105/SUM(P104:P105)</f>
        <v>0.68012691389367641</v>
      </c>
      <c r="R105" s="538">
        <f>D105</f>
        <v>138.60999999999999</v>
      </c>
      <c r="S105" s="365">
        <f>R105/SUM(R104:R105)</f>
        <v>0.83</v>
      </c>
      <c r="T105" s="525"/>
      <c r="U105" s="368" t="s">
        <v>83</v>
      </c>
      <c r="V105" s="375">
        <v>0</v>
      </c>
      <c r="W105" s="532"/>
      <c r="X105" s="4"/>
      <c r="Y105" s="4"/>
      <c r="Z105" s="432"/>
      <c r="AA105" s="432"/>
      <c r="AB105" s="432">
        <f>L105</f>
        <v>91.575000000000003</v>
      </c>
      <c r="AC105" s="432">
        <f>K105</f>
        <v>0.33</v>
      </c>
      <c r="AD105" s="748">
        <f>AC105*D103*V105</f>
        <v>0</v>
      </c>
      <c r="AE105" s="725"/>
      <c r="AF105" s="721"/>
      <c r="AG105" s="721"/>
      <c r="AH105" s="721"/>
      <c r="AI105" s="721"/>
      <c r="AJ105" s="721"/>
      <c r="AK105" s="721"/>
      <c r="AL105" s="721"/>
      <c r="AM105" s="721"/>
      <c r="AN105" s="721"/>
      <c r="AO105" s="721"/>
      <c r="AP105" s="722">
        <f>+AD105</f>
        <v>0</v>
      </c>
      <c r="AQ105" s="721"/>
      <c r="AR105" s="649"/>
      <c r="AT105" s="226"/>
      <c r="AU105" s="226"/>
      <c r="AV105" s="228"/>
      <c r="AW105" s="228"/>
      <c r="AX105" s="228"/>
      <c r="AY105" s="228"/>
      <c r="BR105" s="1707" t="str">
        <f>$C$115</f>
        <v>National air</v>
      </c>
      <c r="BS105" s="532">
        <f>H115</f>
        <v>15</v>
      </c>
      <c r="BT105" s="532">
        <f>H255</f>
        <v>15</v>
      </c>
      <c r="BU105" s="532">
        <f>H395</f>
        <v>15</v>
      </c>
      <c r="BV105" s="532"/>
      <c r="BW105" s="748">
        <f>H535</f>
        <v>15</v>
      </c>
      <c r="BY105" s="1707" t="str">
        <f>$C$115</f>
        <v>National air</v>
      </c>
      <c r="BZ105" s="829">
        <f>K115</f>
        <v>10.8</v>
      </c>
      <c r="CA105" s="829">
        <f>K255</f>
        <v>9.8664359368393715</v>
      </c>
      <c r="CB105" s="829">
        <f>K395</f>
        <v>8.061596504889506</v>
      </c>
      <c r="CC105" s="829">
        <f t="shared" si="119"/>
        <v>6.7217912983133719</v>
      </c>
      <c r="CD105" s="1725">
        <f>K535</f>
        <v>5.3819860917372386</v>
      </c>
    </row>
    <row r="106" spans="3:125" ht="15.75" customHeight="1" x14ac:dyDescent="0.25">
      <c r="C106" s="330"/>
      <c r="D106" s="701"/>
      <c r="E106" s="448"/>
      <c r="F106" s="416"/>
      <c r="G106" s="416"/>
      <c r="H106" s="829"/>
      <c r="I106" s="532"/>
      <c r="J106" s="366"/>
      <c r="K106" s="432"/>
      <c r="L106" s="416"/>
      <c r="M106" s="691"/>
      <c r="N106" s="448"/>
      <c r="O106" s="659"/>
      <c r="P106" s="758"/>
      <c r="Q106" s="810"/>
      <c r="R106" s="758"/>
      <c r="S106" s="796"/>
      <c r="T106" s="525"/>
      <c r="U106" s="368" t="s">
        <v>95</v>
      </c>
      <c r="V106" s="375">
        <v>0</v>
      </c>
      <c r="W106" s="532">
        <f>AB106*74</f>
        <v>15560.572</v>
      </c>
      <c r="X106" s="4"/>
      <c r="Y106" s="4"/>
      <c r="Z106" s="432"/>
      <c r="AA106" s="432"/>
      <c r="AB106" s="432">
        <f>AB104</f>
        <v>210.27799999999999</v>
      </c>
      <c r="AC106" s="432">
        <f>AC104</f>
        <v>0.75775855855855856</v>
      </c>
      <c r="AD106" s="748">
        <f>AC106*D103*V106</f>
        <v>0</v>
      </c>
      <c r="AE106" s="725"/>
      <c r="AF106" s="722">
        <f>AD106</f>
        <v>0</v>
      </c>
      <c r="AG106" s="721"/>
      <c r="AH106" s="721"/>
      <c r="AI106" s="721"/>
      <c r="AJ106" s="721"/>
      <c r="AK106" s="721"/>
      <c r="AL106" s="721"/>
      <c r="AM106" s="721"/>
      <c r="AN106" s="721"/>
      <c r="AO106" s="721"/>
      <c r="AP106" s="721"/>
      <c r="AQ106" s="721"/>
      <c r="AR106" s="649"/>
      <c r="AT106" s="894"/>
      <c r="AU106" s="894"/>
      <c r="AV106" s="228"/>
      <c r="AW106" s="228"/>
      <c r="AX106" s="228"/>
      <c r="AY106" s="228"/>
      <c r="BR106" s="1707" t="str">
        <f>$C$119</f>
        <v>International air</v>
      </c>
      <c r="BS106" s="532">
        <f>H119</f>
        <v>30</v>
      </c>
      <c r="BT106" s="532">
        <f>H259</f>
        <v>30</v>
      </c>
      <c r="BU106" s="532">
        <f>H399</f>
        <v>30</v>
      </c>
      <c r="BV106" s="532"/>
      <c r="BW106" s="748">
        <f>H539</f>
        <v>30</v>
      </c>
      <c r="BY106" s="1707" t="str">
        <f>$C$119</f>
        <v>International air</v>
      </c>
      <c r="BZ106" s="829">
        <f>K119</f>
        <v>10.8</v>
      </c>
      <c r="CA106" s="829">
        <f>K259</f>
        <v>9.8664359368393715</v>
      </c>
      <c r="CB106" s="829">
        <f>K399</f>
        <v>8.061596504889506</v>
      </c>
      <c r="CC106" s="829">
        <f t="shared" si="119"/>
        <v>6.7217912983133719</v>
      </c>
      <c r="CD106" s="1725">
        <f>K539</f>
        <v>5.3819860917372386</v>
      </c>
    </row>
    <row r="107" spans="3:125" ht="15.75" customHeight="1" thickBot="1" x14ac:dyDescent="0.3">
      <c r="C107" s="330"/>
      <c r="D107" s="701"/>
      <c r="E107" s="448"/>
      <c r="F107" s="416"/>
      <c r="G107" s="416"/>
      <c r="H107" s="829"/>
      <c r="I107" s="532"/>
      <c r="J107" s="895"/>
      <c r="K107" s="432"/>
      <c r="L107" s="416"/>
      <c r="M107" s="691"/>
      <c r="N107" s="448"/>
      <c r="O107" s="659"/>
      <c r="P107" s="758"/>
      <c r="Q107" s="810"/>
      <c r="R107" s="758"/>
      <c r="S107" s="796"/>
      <c r="T107" s="525"/>
      <c r="U107" s="368" t="s">
        <v>425</v>
      </c>
      <c r="V107" s="295">
        <v>0</v>
      </c>
      <c r="W107" s="532"/>
      <c r="X107" s="4"/>
      <c r="Y107" s="4"/>
      <c r="Z107" s="432"/>
      <c r="AA107" s="432"/>
      <c r="AB107" s="432">
        <f>AB106</f>
        <v>210.27799999999999</v>
      </c>
      <c r="AC107" s="432">
        <f>AC106</f>
        <v>0.75775855855855856</v>
      </c>
      <c r="AD107" s="748">
        <f>AC107*D103*V107</f>
        <v>0</v>
      </c>
      <c r="AE107" s="725"/>
      <c r="AF107" s="721"/>
      <c r="AG107" s="721"/>
      <c r="AH107" s="721"/>
      <c r="AI107" s="722">
        <f>AD107</f>
        <v>0</v>
      </c>
      <c r="AJ107" s="721"/>
      <c r="AK107" s="721"/>
      <c r="AL107" s="721"/>
      <c r="AM107" s="721"/>
      <c r="AN107" s="721"/>
      <c r="AO107" s="721"/>
      <c r="AP107" s="721"/>
      <c r="AQ107" s="721"/>
      <c r="AR107" s="649"/>
      <c r="AT107" s="226"/>
      <c r="AU107" s="226"/>
      <c r="AV107" s="228"/>
      <c r="AW107" s="228"/>
      <c r="AX107" s="228"/>
      <c r="AY107" s="228"/>
      <c r="BR107" s="1707" t="str">
        <f>$C$123</f>
        <v>National sea</v>
      </c>
      <c r="BS107" s="532">
        <f>H123</f>
        <v>12000</v>
      </c>
      <c r="BT107" s="532">
        <f>H263</f>
        <v>12000</v>
      </c>
      <c r="BU107" s="532">
        <f>H403</f>
        <v>12000</v>
      </c>
      <c r="BV107" s="532"/>
      <c r="BW107" s="748">
        <f>H543</f>
        <v>12000</v>
      </c>
      <c r="BY107" s="1707" t="str">
        <f>$C$123</f>
        <v>National sea</v>
      </c>
      <c r="BZ107" s="1733">
        <f>K123</f>
        <v>0.22666666666666666</v>
      </c>
      <c r="CA107" s="1733">
        <f>K263</f>
        <v>0.21044100471692193</v>
      </c>
      <c r="CB107" s="1733">
        <f>K403</f>
        <v>0.1903190725128274</v>
      </c>
      <c r="CC107" s="1733">
        <f t="shared" si="119"/>
        <v>0.18298876829527017</v>
      </c>
      <c r="CD107" s="1778">
        <f>K543</f>
        <v>0.17565846407771291</v>
      </c>
    </row>
    <row r="108" spans="3:125" ht="15.75" customHeight="1" thickBot="1" x14ac:dyDescent="0.3">
      <c r="C108" s="330"/>
      <c r="D108" s="701"/>
      <c r="E108" s="448"/>
      <c r="F108" s="416"/>
      <c r="G108" s="404"/>
      <c r="H108" s="830"/>
      <c r="I108" s="705"/>
      <c r="J108" s="390"/>
      <c r="K108" s="432"/>
      <c r="L108" s="432"/>
      <c r="M108" s="691"/>
      <c r="N108" s="448"/>
      <c r="O108" s="659"/>
      <c r="P108" s="758"/>
      <c r="Q108" s="810"/>
      <c r="R108" s="758"/>
      <c r="S108" s="796"/>
      <c r="T108" s="527"/>
      <c r="U108" s="391" t="s">
        <v>57</v>
      </c>
      <c r="V108" s="410">
        <f>1-SUM(V104:V107)</f>
        <v>1</v>
      </c>
      <c r="W108" s="705"/>
      <c r="X108" s="384"/>
      <c r="Y108" s="384"/>
      <c r="Z108" s="439"/>
      <c r="AA108" s="439"/>
      <c r="AB108" s="439">
        <f>L103</f>
        <v>111.75451</v>
      </c>
      <c r="AC108" s="439">
        <f>K103</f>
        <v>0.40271895495495497</v>
      </c>
      <c r="AD108" s="748">
        <f>AC108*V108*D103</f>
        <v>67.254065477477482</v>
      </c>
      <c r="AE108" s="732"/>
      <c r="AF108" s="729">
        <f>+AD108*Q104</f>
        <v>21.512765477477483</v>
      </c>
      <c r="AG108" s="730"/>
      <c r="AH108" s="730"/>
      <c r="AI108" s="730"/>
      <c r="AJ108" s="730"/>
      <c r="AK108" s="730"/>
      <c r="AL108" s="730"/>
      <c r="AM108" s="730"/>
      <c r="AN108" s="730"/>
      <c r="AO108" s="730"/>
      <c r="AP108" s="729">
        <f>AD108*Q105</f>
        <v>45.741300000000003</v>
      </c>
      <c r="AQ108" s="730"/>
      <c r="AR108" s="652"/>
      <c r="AV108" s="228"/>
      <c r="AW108" s="228"/>
      <c r="AX108" s="228"/>
      <c r="AY108" s="228"/>
      <c r="BR108" s="1726" t="str">
        <f>$C$128</f>
        <v>International sea</v>
      </c>
      <c r="BS108" s="532">
        <f>H128</f>
        <v>52500</v>
      </c>
      <c r="BT108" s="532">
        <f>H268</f>
        <v>52500</v>
      </c>
      <c r="BU108" s="532">
        <f>H408</f>
        <v>52500</v>
      </c>
      <c r="BV108" s="532"/>
      <c r="BW108" s="748">
        <f>H548</f>
        <v>52500</v>
      </c>
      <c r="BY108" s="1726" t="str">
        <f>$C$128</f>
        <v>International sea</v>
      </c>
      <c r="BZ108" s="1733">
        <f>K128</f>
        <v>5.4285714285714284E-2</v>
      </c>
      <c r="CA108" s="1733">
        <f>K268</f>
        <v>5.0399736423800627E-2</v>
      </c>
      <c r="CB108" s="1733">
        <f>K408</f>
        <v>4.5580618206853621E-2</v>
      </c>
      <c r="CC108" s="1733">
        <f t="shared" si="119"/>
        <v>4.3825041146346215E-2</v>
      </c>
      <c r="CD108" s="1778">
        <f>K548</f>
        <v>4.2069464085838809E-2</v>
      </c>
    </row>
    <row r="109" spans="3:125" ht="15.75" customHeight="1" thickBot="1" x14ac:dyDescent="0.3">
      <c r="C109" s="331" t="s">
        <v>26</v>
      </c>
      <c r="D109" s="698">
        <v>378</v>
      </c>
      <c r="E109" s="392">
        <f>D109/D141</f>
        <v>4.3594605162997893E-3</v>
      </c>
      <c r="F109" s="542">
        <v>1000</v>
      </c>
      <c r="G109" s="453">
        <v>0.37</v>
      </c>
      <c r="H109" s="820">
        <f>F109*G109</f>
        <v>370</v>
      </c>
      <c r="I109" s="529">
        <f>D109/H109</f>
        <v>1.0216216216216216</v>
      </c>
      <c r="J109" s="356">
        <f>I109/I141</f>
        <v>9.9324109154961084E-5</v>
      </c>
      <c r="K109" s="407">
        <f>L109/H109</f>
        <v>0.27999999999999997</v>
      </c>
      <c r="L109" s="452">
        <v>103.6</v>
      </c>
      <c r="M109" s="693">
        <f>D109*K109</f>
        <v>105.83999999999999</v>
      </c>
      <c r="N109" s="392">
        <f>M109/M141</f>
        <v>8.8992688058857111E-4</v>
      </c>
      <c r="O109" s="681" t="s">
        <v>60</v>
      </c>
      <c r="P109" s="759">
        <f>SUM(P110:P111)</f>
        <v>105.83999999999999</v>
      </c>
      <c r="Q109" s="801">
        <f>SUM(Q110:Q111)</f>
        <v>1</v>
      </c>
      <c r="R109" s="759">
        <f>SUM(R110:R111)</f>
        <v>378</v>
      </c>
      <c r="S109" s="797">
        <f>SUM(S110:S111)</f>
        <v>1</v>
      </c>
      <c r="T109" s="680"/>
      <c r="U109" s="672" t="s">
        <v>56</v>
      </c>
      <c r="V109" s="619"/>
      <c r="W109" s="762"/>
      <c r="X109" s="447"/>
      <c r="Y109" s="619"/>
      <c r="Z109" s="447"/>
      <c r="AA109" s="447"/>
      <c r="AB109" s="447"/>
      <c r="AC109" s="447"/>
      <c r="AD109" s="749">
        <f>SUM(AD110:AD114)</f>
        <v>105.83999999999999</v>
      </c>
      <c r="AE109" s="725"/>
      <c r="AF109" s="721"/>
      <c r="AG109" s="721"/>
      <c r="AH109" s="721"/>
      <c r="AI109" s="721"/>
      <c r="AJ109" s="721"/>
      <c r="AK109" s="721"/>
      <c r="AL109" s="721"/>
      <c r="AM109" s="721"/>
      <c r="AN109" s="721"/>
      <c r="AO109" s="721"/>
      <c r="AP109" s="721"/>
      <c r="AQ109" s="721"/>
      <c r="AR109" s="651"/>
      <c r="AV109" s="228"/>
      <c r="AW109" s="228"/>
      <c r="AX109" s="228"/>
      <c r="AY109" s="228"/>
      <c r="BR109" s="1719" t="str">
        <f>$C$133</f>
        <v>Other</v>
      </c>
      <c r="BS109" s="1720"/>
      <c r="BT109" s="1720"/>
      <c r="BU109" s="1720"/>
      <c r="BV109" s="1720"/>
      <c r="BW109" s="1721"/>
      <c r="BY109" s="1719" t="str">
        <f>$C$133</f>
        <v>Other</v>
      </c>
      <c r="BZ109" s="1783"/>
      <c r="CA109" s="1783"/>
      <c r="CB109" s="1783"/>
      <c r="CC109" s="1783"/>
      <c r="CD109" s="1784"/>
    </row>
    <row r="110" spans="3:125" ht="15.75" customHeight="1" thickBot="1" x14ac:dyDescent="0.3">
      <c r="C110" s="332"/>
      <c r="D110" s="701"/>
      <c r="E110" s="448"/>
      <c r="F110" s="416"/>
      <c r="G110" s="405"/>
      <c r="H110" s="829"/>
      <c r="I110" s="532"/>
      <c r="J110" s="366"/>
      <c r="K110" s="432"/>
      <c r="L110" s="432"/>
      <c r="M110" s="532"/>
      <c r="N110" s="448"/>
      <c r="O110" s="660" t="s">
        <v>3</v>
      </c>
      <c r="P110" s="538">
        <f>M110</f>
        <v>0</v>
      </c>
      <c r="Q110" s="473">
        <f>P110/SUM(P110:P111)</f>
        <v>0</v>
      </c>
      <c r="R110" s="538">
        <f>D110</f>
        <v>0</v>
      </c>
      <c r="S110" s="365">
        <f>R110/SUM(R110:R111)</f>
        <v>0</v>
      </c>
      <c r="T110" s="525"/>
      <c r="U110" s="368" t="s">
        <v>415</v>
      </c>
      <c r="V110" s="294">
        <v>0</v>
      </c>
      <c r="W110" s="532"/>
      <c r="X110" s="4"/>
      <c r="Y110" s="4"/>
      <c r="Z110" s="432"/>
      <c r="AA110" s="432"/>
      <c r="AB110" s="432">
        <f>AB104</f>
        <v>210.27799999999999</v>
      </c>
      <c r="AC110" s="432">
        <f>AC104</f>
        <v>0.75775855855855856</v>
      </c>
      <c r="AD110" s="748">
        <f>AC110*D109*V110</f>
        <v>0</v>
      </c>
      <c r="AE110" s="725"/>
      <c r="AF110" s="721"/>
      <c r="AG110" s="721"/>
      <c r="AH110" s="722">
        <f>AD110</f>
        <v>0</v>
      </c>
      <c r="AJ110" s="721"/>
      <c r="AK110" s="721"/>
      <c r="AL110" s="721"/>
      <c r="AM110" s="721"/>
      <c r="AN110" s="721"/>
      <c r="AO110" s="721"/>
      <c r="AP110" s="721"/>
      <c r="AQ110" s="721"/>
      <c r="AR110" s="649"/>
      <c r="AT110" s="226"/>
      <c r="AU110" s="73"/>
      <c r="AV110" s="272"/>
      <c r="AW110" s="226"/>
      <c r="AX110" s="251"/>
      <c r="BR110" s="1722" t="str">
        <f>$C$141</f>
        <v>Total</v>
      </c>
      <c r="BS110" s="706"/>
      <c r="BT110" s="706"/>
      <c r="BU110" s="706"/>
      <c r="BV110" s="706"/>
      <c r="BW110" s="1723"/>
      <c r="BX110" s="956"/>
      <c r="BY110" s="1722" t="str">
        <f>$C$141</f>
        <v>Total</v>
      </c>
      <c r="BZ110" s="706"/>
      <c r="CA110" s="706"/>
      <c r="CB110" s="706"/>
      <c r="CC110" s="706"/>
      <c r="CD110" s="1723"/>
    </row>
    <row r="111" spans="3:125" ht="15.75" customHeight="1" x14ac:dyDescent="0.25">
      <c r="C111" s="330"/>
      <c r="D111" s="701"/>
      <c r="E111" s="448"/>
      <c r="F111" s="416"/>
      <c r="G111" s="416"/>
      <c r="H111" s="829"/>
      <c r="I111" s="532"/>
      <c r="J111" s="366"/>
      <c r="K111" s="432"/>
      <c r="L111" s="416"/>
      <c r="M111" s="691"/>
      <c r="N111" s="448"/>
      <c r="O111" s="660" t="s">
        <v>5</v>
      </c>
      <c r="P111" s="538">
        <f>M109</f>
        <v>105.83999999999999</v>
      </c>
      <c r="Q111" s="473">
        <f>P111/P111</f>
        <v>1</v>
      </c>
      <c r="R111" s="538">
        <f>D109</f>
        <v>378</v>
      </c>
      <c r="S111" s="365">
        <f>R111/R111</f>
        <v>1</v>
      </c>
      <c r="T111" s="525"/>
      <c r="U111" s="368" t="s">
        <v>83</v>
      </c>
      <c r="V111" s="375">
        <v>0</v>
      </c>
      <c r="W111" s="532"/>
      <c r="X111" s="4"/>
      <c r="Y111" s="4"/>
      <c r="Z111" s="432"/>
      <c r="AA111" s="432"/>
      <c r="AB111" s="432">
        <f>L109</f>
        <v>103.6</v>
      </c>
      <c r="AC111" s="432">
        <f>K109</f>
        <v>0.27999999999999997</v>
      </c>
      <c r="AD111" s="748">
        <f>AC111*D109*V111</f>
        <v>0</v>
      </c>
      <c r="AE111" s="725"/>
      <c r="AF111" s="721"/>
      <c r="AG111" s="721"/>
      <c r="AH111" s="721"/>
      <c r="AI111" s="721"/>
      <c r="AJ111" s="721"/>
      <c r="AK111" s="721"/>
      <c r="AL111" s="721"/>
      <c r="AM111" s="721"/>
      <c r="AN111" s="721"/>
      <c r="AO111" s="721"/>
      <c r="AP111" s="722">
        <f>+AD111</f>
        <v>0</v>
      </c>
      <c r="AQ111" s="721"/>
      <c r="AR111" s="649"/>
      <c r="AT111" s="226"/>
      <c r="AU111" s="226"/>
      <c r="AV111" s="226"/>
      <c r="AW111" s="226"/>
      <c r="BR111" s="1647"/>
      <c r="BS111" s="1647"/>
      <c r="BT111" s="1647"/>
      <c r="BU111" s="1647"/>
      <c r="BV111" s="1647"/>
      <c r="BW111" s="1647"/>
      <c r="BX111" s="956"/>
      <c r="BY111" s="956"/>
      <c r="BZ111" s="956"/>
    </row>
    <row r="112" spans="3:125" ht="15.75" customHeight="1" x14ac:dyDescent="0.25">
      <c r="C112" s="332"/>
      <c r="D112" s="701"/>
      <c r="E112" s="448"/>
      <c r="F112" s="416"/>
      <c r="G112" s="405"/>
      <c r="H112" s="829"/>
      <c r="I112" s="532"/>
      <c r="J112" s="366"/>
      <c r="K112" s="432"/>
      <c r="L112" s="432"/>
      <c r="M112" s="532"/>
      <c r="N112" s="448"/>
      <c r="O112" s="659"/>
      <c r="P112" s="758"/>
      <c r="Q112" s="810"/>
      <c r="R112" s="758"/>
      <c r="S112" s="796"/>
      <c r="T112" s="525"/>
      <c r="U112" s="368" t="s">
        <v>95</v>
      </c>
      <c r="V112" s="375">
        <v>0</v>
      </c>
      <c r="W112" s="532">
        <f>AB112*74</f>
        <v>15560.572</v>
      </c>
      <c r="X112" s="4"/>
      <c r="Y112" s="4"/>
      <c r="Z112" s="432"/>
      <c r="AA112" s="432"/>
      <c r="AB112" s="432">
        <f>AB110</f>
        <v>210.27799999999999</v>
      </c>
      <c r="AC112" s="432">
        <f>AC110</f>
        <v>0.75775855855855856</v>
      </c>
      <c r="AD112" s="748">
        <f>AC112*D109*V112</f>
        <v>0</v>
      </c>
      <c r="AE112" s="725"/>
      <c r="AF112" s="722">
        <f>AD112</f>
        <v>0</v>
      </c>
      <c r="AG112" s="721"/>
      <c r="AH112" s="721"/>
      <c r="AI112" s="721"/>
      <c r="AJ112" s="721"/>
      <c r="AK112" s="721"/>
      <c r="AL112" s="721"/>
      <c r="AM112" s="721"/>
      <c r="AN112" s="721"/>
      <c r="AO112" s="721"/>
      <c r="AP112" s="721"/>
      <c r="AQ112" s="721"/>
      <c r="AR112" s="649"/>
      <c r="AT112" s="894"/>
      <c r="AU112" s="894"/>
      <c r="AV112" s="894"/>
      <c r="AW112" s="894"/>
    </row>
    <row r="113" spans="3:50" ht="15.75" customHeight="1" thickBot="1" x14ac:dyDescent="0.3">
      <c r="C113" s="332"/>
      <c r="D113" s="701"/>
      <c r="E113" s="448"/>
      <c r="F113" s="416"/>
      <c r="G113" s="405"/>
      <c r="H113" s="829"/>
      <c r="I113" s="532"/>
      <c r="J113" s="895"/>
      <c r="K113" s="432"/>
      <c r="L113" s="432"/>
      <c r="M113" s="532"/>
      <c r="N113" s="448"/>
      <c r="O113" s="659"/>
      <c r="P113" s="758"/>
      <c r="Q113" s="810"/>
      <c r="R113" s="758"/>
      <c r="S113" s="796"/>
      <c r="T113" s="525"/>
      <c r="U113" s="368" t="s">
        <v>425</v>
      </c>
      <c r="V113" s="295">
        <v>0</v>
      </c>
      <c r="W113" s="532"/>
      <c r="X113" s="4"/>
      <c r="Y113" s="4"/>
      <c r="Z113" s="432"/>
      <c r="AA113" s="432"/>
      <c r="AB113" s="432">
        <f>AB112</f>
        <v>210.27799999999999</v>
      </c>
      <c r="AC113" s="432">
        <f>AC112</f>
        <v>0.75775855855855856</v>
      </c>
      <c r="AD113" s="748">
        <f>AC113*D109*V113</f>
        <v>0</v>
      </c>
      <c r="AE113" s="725"/>
      <c r="AF113" s="721"/>
      <c r="AG113" s="721"/>
      <c r="AH113" s="721"/>
      <c r="AI113" s="722">
        <f>AD113</f>
        <v>0</v>
      </c>
      <c r="AJ113" s="721"/>
      <c r="AK113" s="721"/>
      <c r="AL113" s="721"/>
      <c r="AM113" s="721"/>
      <c r="AN113" s="721"/>
      <c r="AO113" s="721"/>
      <c r="AP113" s="721"/>
      <c r="AQ113" s="721"/>
      <c r="AR113" s="649"/>
      <c r="AT113" s="226"/>
      <c r="AU113" s="226"/>
      <c r="AV113" s="226"/>
      <c r="AX113" s="226"/>
    </row>
    <row r="114" spans="3:50" ht="15.75" customHeight="1" thickBot="1" x14ac:dyDescent="0.3">
      <c r="C114" s="332"/>
      <c r="D114" s="701"/>
      <c r="E114" s="448"/>
      <c r="F114" s="416"/>
      <c r="G114" s="404"/>
      <c r="H114" s="830"/>
      <c r="I114" s="705"/>
      <c r="J114" s="390"/>
      <c r="K114" s="432"/>
      <c r="L114" s="432"/>
      <c r="M114" s="532"/>
      <c r="N114" s="448"/>
      <c r="O114" s="659"/>
      <c r="P114" s="758"/>
      <c r="Q114" s="810"/>
      <c r="R114" s="758"/>
      <c r="S114" s="796"/>
      <c r="T114" s="527"/>
      <c r="U114" s="391" t="s">
        <v>57</v>
      </c>
      <c r="V114" s="410">
        <f>1-SUM(V110:V113)</f>
        <v>1</v>
      </c>
      <c r="W114" s="705"/>
      <c r="X114" s="384"/>
      <c r="Y114" s="384"/>
      <c r="Z114" s="384"/>
      <c r="AA114" s="384"/>
      <c r="AB114" s="439">
        <f>L109</f>
        <v>103.6</v>
      </c>
      <c r="AC114" s="439">
        <f>K109</f>
        <v>0.27999999999999997</v>
      </c>
      <c r="AD114" s="748">
        <f>AC114*V114*D109</f>
        <v>105.83999999999999</v>
      </c>
      <c r="AE114" s="732"/>
      <c r="AF114" s="729">
        <f>+AD114*Q110</f>
        <v>0</v>
      </c>
      <c r="AG114" s="730"/>
      <c r="AH114" s="730"/>
      <c r="AI114" s="730"/>
      <c r="AJ114" s="730"/>
      <c r="AK114" s="730"/>
      <c r="AL114" s="730"/>
      <c r="AM114" s="730"/>
      <c r="AN114" s="730"/>
      <c r="AO114" s="730"/>
      <c r="AP114" s="729">
        <f>AD114*Q111</f>
        <v>105.83999999999999</v>
      </c>
      <c r="AQ114" s="730"/>
      <c r="AR114" s="652"/>
      <c r="AT114" s="226"/>
      <c r="AU114" s="226"/>
      <c r="AV114" s="226"/>
      <c r="AW114" s="226"/>
    </row>
    <row r="115" spans="3:50" ht="15.75" customHeight="1" thickBot="1" x14ac:dyDescent="0.3">
      <c r="C115" s="331" t="s">
        <v>10</v>
      </c>
      <c r="D115" s="698">
        <f>41*100*270/1000000</f>
        <v>1.107</v>
      </c>
      <c r="E115" s="392">
        <f>D115/D141</f>
        <v>1.276699151202081E-5</v>
      </c>
      <c r="F115" s="56">
        <v>25</v>
      </c>
      <c r="G115" s="453">
        <v>0.6</v>
      </c>
      <c r="H115" s="820">
        <f>F115*G115</f>
        <v>15</v>
      </c>
      <c r="I115" s="529">
        <f>D115/H115</f>
        <v>7.3800000000000004E-2</v>
      </c>
      <c r="J115" s="393">
        <f>I115/I141</f>
        <v>7.1749844565750459E-6</v>
      </c>
      <c r="K115" s="407">
        <f>L115/H115</f>
        <v>10.8</v>
      </c>
      <c r="L115" s="452">
        <v>162</v>
      </c>
      <c r="M115" s="693">
        <f>D115*K115</f>
        <v>11.9556</v>
      </c>
      <c r="N115" s="392">
        <f>M115/M141</f>
        <v>1.0052541396036209E-4</v>
      </c>
      <c r="O115" s="682" t="s">
        <v>60</v>
      </c>
      <c r="P115" s="759">
        <f>SUM(P116)</f>
        <v>11.9556</v>
      </c>
      <c r="Q115" s="801">
        <f>SUM(Q116)</f>
        <v>1</v>
      </c>
      <c r="R115" s="759">
        <f>SUM(R116)</f>
        <v>1.107</v>
      </c>
      <c r="S115" s="797">
        <f>SUM(S116)</f>
        <v>1</v>
      </c>
      <c r="T115" s="680"/>
      <c r="U115" s="673" t="s">
        <v>60</v>
      </c>
      <c r="V115" s="890"/>
      <c r="W115" s="762"/>
      <c r="X115" s="447"/>
      <c r="Y115" s="619"/>
      <c r="Z115" s="447"/>
      <c r="AA115" s="447"/>
      <c r="AB115" s="447"/>
      <c r="AC115" s="447"/>
      <c r="AD115" s="749">
        <f>SUM(AD116:AD118)</f>
        <v>11.9556</v>
      </c>
      <c r="AE115" s="720"/>
      <c r="AF115" s="721"/>
      <c r="AG115" s="721"/>
      <c r="AH115" s="721"/>
      <c r="AI115" s="721"/>
      <c r="AJ115" s="721"/>
      <c r="AK115" s="721"/>
      <c r="AL115" s="721"/>
      <c r="AM115" s="721"/>
      <c r="AN115" s="721"/>
      <c r="AO115" s="721"/>
      <c r="AP115" s="721"/>
      <c r="AQ115" s="721"/>
      <c r="AR115" s="651"/>
      <c r="AT115" s="226"/>
      <c r="AU115" s="226"/>
      <c r="AV115" s="226"/>
      <c r="AW115" s="226"/>
    </row>
    <row r="116" spans="3:50" ht="15.75" customHeight="1" x14ac:dyDescent="0.25">
      <c r="C116" s="334"/>
      <c r="D116" s="701"/>
      <c r="E116" s="448"/>
      <c r="F116" s="416"/>
      <c r="G116" s="405"/>
      <c r="H116" s="829"/>
      <c r="I116" s="532"/>
      <c r="J116" s="366"/>
      <c r="K116" s="432"/>
      <c r="L116" s="432"/>
      <c r="M116" s="770"/>
      <c r="N116" s="448"/>
      <c r="O116" s="660" t="s">
        <v>4</v>
      </c>
      <c r="P116" s="538">
        <f>M115</f>
        <v>11.9556</v>
      </c>
      <c r="Q116" s="473">
        <f>P116/P116</f>
        <v>1</v>
      </c>
      <c r="R116" s="538">
        <f>D115</f>
        <v>1.107</v>
      </c>
      <c r="S116" s="365">
        <f>R116/R116</f>
        <v>1</v>
      </c>
      <c r="T116" s="525"/>
      <c r="U116" s="368" t="s">
        <v>429</v>
      </c>
      <c r="V116" s="294">
        <v>0</v>
      </c>
      <c r="W116" s="532"/>
      <c r="X116" s="4"/>
      <c r="Y116" s="4"/>
      <c r="Z116" s="4"/>
      <c r="AA116" s="421">
        <f>1/AB116</f>
        <v>6.1728395061728392E-3</v>
      </c>
      <c r="AB116" s="416">
        <f>AB118</f>
        <v>162</v>
      </c>
      <c r="AC116" s="411">
        <f>AC118</f>
        <v>10.8</v>
      </c>
      <c r="AD116" s="748">
        <f>AC116*D115*V116</f>
        <v>0</v>
      </c>
      <c r="AE116" s="720"/>
      <c r="AF116" s="733"/>
      <c r="AG116" s="733"/>
      <c r="AH116" s="733"/>
      <c r="AI116" s="733"/>
      <c r="AJ116" s="733"/>
      <c r="AK116" s="733"/>
      <c r="AL116" s="733"/>
      <c r="AM116" s="722">
        <f>AD116</f>
        <v>0</v>
      </c>
      <c r="AN116" s="721"/>
      <c r="AO116" s="721"/>
      <c r="AP116" s="721"/>
      <c r="AQ116" s="721"/>
      <c r="AR116" s="649"/>
      <c r="AT116" s="226"/>
      <c r="AU116" s="226"/>
      <c r="AV116" s="226"/>
      <c r="AW116" s="226"/>
    </row>
    <row r="117" spans="3:50" ht="15.75" customHeight="1" thickBot="1" x14ac:dyDescent="0.3">
      <c r="C117" s="334"/>
      <c r="D117" s="701"/>
      <c r="E117" s="448"/>
      <c r="F117" s="416"/>
      <c r="G117" s="405"/>
      <c r="H117" s="829"/>
      <c r="I117" s="532"/>
      <c r="J117" s="366"/>
      <c r="K117" s="432"/>
      <c r="L117" s="432"/>
      <c r="M117" s="770"/>
      <c r="N117" s="448"/>
      <c r="O117" s="659"/>
      <c r="P117" s="758"/>
      <c r="Q117" s="810"/>
      <c r="R117" s="758"/>
      <c r="S117" s="796"/>
      <c r="T117" s="525"/>
      <c r="U117" s="368" t="s">
        <v>406</v>
      </c>
      <c r="V117" s="295">
        <v>0</v>
      </c>
      <c r="W117" s="532"/>
      <c r="X117" s="612"/>
      <c r="Y117" s="612"/>
      <c r="Z117" s="421"/>
      <c r="AA117" s="421">
        <f>1/AB117</f>
        <v>6.1728395061728392E-3</v>
      </c>
      <c r="AB117" s="416">
        <f>AB118</f>
        <v>162</v>
      </c>
      <c r="AC117" s="411">
        <f>AC118</f>
        <v>10.8</v>
      </c>
      <c r="AD117" s="748">
        <f>AC117*D115*V117</f>
        <v>0</v>
      </c>
      <c r="AE117" s="736"/>
      <c r="AF117" s="733"/>
      <c r="AG117" s="733"/>
      <c r="AH117" s="733"/>
      <c r="AI117" s="733"/>
      <c r="AJ117" s="733"/>
      <c r="AK117" s="733"/>
      <c r="AL117" s="733"/>
      <c r="AM117" s="733"/>
      <c r="AN117" s="721"/>
      <c r="AO117" s="721"/>
      <c r="AP117" s="721"/>
      <c r="AQ117" s="722">
        <f>AD117</f>
        <v>0</v>
      </c>
      <c r="AR117" s="649"/>
    </row>
    <row r="118" spans="3:50" ht="15.75" customHeight="1" thickBot="1" x14ac:dyDescent="0.3">
      <c r="C118" s="334"/>
      <c r="D118" s="701"/>
      <c r="E118" s="448"/>
      <c r="F118" s="416"/>
      <c r="G118" s="404"/>
      <c r="H118" s="830"/>
      <c r="I118" s="705"/>
      <c r="J118" s="390"/>
      <c r="K118" s="439"/>
      <c r="L118" s="432"/>
      <c r="M118" s="770"/>
      <c r="N118" s="448"/>
      <c r="O118" s="660"/>
      <c r="P118" s="538"/>
      <c r="Q118" s="473"/>
      <c r="R118" s="538"/>
      <c r="S118" s="661"/>
      <c r="T118" s="527"/>
      <c r="U118" s="674" t="s">
        <v>57</v>
      </c>
      <c r="V118" s="410">
        <f>1-SUM(V116:V117)</f>
        <v>1</v>
      </c>
      <c r="W118" s="705">
        <f>AB118*72</f>
        <v>11664</v>
      </c>
      <c r="X118" s="384"/>
      <c r="Y118" s="384"/>
      <c r="Z118" s="384"/>
      <c r="AA118" s="454">
        <f>1/AB118</f>
        <v>6.1728395061728392E-3</v>
      </c>
      <c r="AB118" s="385">
        <f>L115</f>
        <v>162</v>
      </c>
      <c r="AC118" s="406">
        <f>K115</f>
        <v>10.8</v>
      </c>
      <c r="AD118" s="747">
        <f>AC118*V118*D115</f>
        <v>11.9556</v>
      </c>
      <c r="AE118" s="734"/>
      <c r="AF118" s="735"/>
      <c r="AG118" s="729">
        <f>+AD118</f>
        <v>11.9556</v>
      </c>
      <c r="AH118" s="735"/>
      <c r="AI118" s="735"/>
      <c r="AJ118" s="730"/>
      <c r="AK118" s="730"/>
      <c r="AL118" s="730"/>
      <c r="AM118" s="730"/>
      <c r="AN118" s="730"/>
      <c r="AO118" s="730"/>
      <c r="AP118" s="730"/>
      <c r="AQ118" s="730"/>
      <c r="AR118" s="652"/>
    </row>
    <row r="119" spans="3:50" ht="15.75" customHeight="1" thickBot="1" x14ac:dyDescent="0.3">
      <c r="C119" s="331" t="s">
        <v>11</v>
      </c>
      <c r="D119" s="698">
        <v>588</v>
      </c>
      <c r="E119" s="392">
        <f>D119/D141</f>
        <v>6.7813830253552277E-3</v>
      </c>
      <c r="F119" s="56">
        <v>50</v>
      </c>
      <c r="G119" s="453">
        <v>0.6</v>
      </c>
      <c r="H119" s="820">
        <f>F119*G119</f>
        <v>30</v>
      </c>
      <c r="I119" s="529">
        <f>D119/H119</f>
        <v>19.600000000000001</v>
      </c>
      <c r="J119" s="356">
        <f>I119/I141</f>
        <v>1.9055514274914757E-3</v>
      </c>
      <c r="K119" s="543">
        <f>L119/H119</f>
        <v>10.8</v>
      </c>
      <c r="L119" s="452">
        <v>324</v>
      </c>
      <c r="M119" s="693">
        <f>D119*K119</f>
        <v>6350.4000000000005</v>
      </c>
      <c r="N119" s="392">
        <f>M119/M141</f>
        <v>5.3395612835314278E-2</v>
      </c>
      <c r="O119" s="682" t="s">
        <v>60</v>
      </c>
      <c r="P119" s="759">
        <f>SUM(P120)</f>
        <v>6350.4000000000005</v>
      </c>
      <c r="Q119" s="801">
        <f>SUM(Q120)</f>
        <v>1</v>
      </c>
      <c r="R119" s="759">
        <f>SUM(R120)</f>
        <v>588</v>
      </c>
      <c r="S119" s="797">
        <f>SUM(S120)</f>
        <v>1</v>
      </c>
      <c r="T119" s="680"/>
      <c r="U119" s="670" t="s">
        <v>60</v>
      </c>
      <c r="V119" s="619"/>
      <c r="W119" s="762"/>
      <c r="X119" s="447"/>
      <c r="Y119" s="619"/>
      <c r="Z119" s="447"/>
      <c r="AA119" s="447"/>
      <c r="AB119" s="447"/>
      <c r="AC119" s="447"/>
      <c r="AD119" s="749">
        <f>SUM(AD120:AD122)</f>
        <v>6350.4000000000005</v>
      </c>
      <c r="AE119" s="725"/>
      <c r="AF119" s="721"/>
      <c r="AG119" s="721"/>
      <c r="AH119" s="721"/>
      <c r="AI119" s="721"/>
      <c r="AJ119" s="721"/>
      <c r="AK119" s="721"/>
      <c r="AL119" s="721"/>
      <c r="AM119" s="721"/>
      <c r="AN119" s="721"/>
      <c r="AO119" s="721"/>
      <c r="AP119" s="721"/>
      <c r="AQ119" s="721"/>
      <c r="AR119" s="651"/>
    </row>
    <row r="120" spans="3:50" ht="15.75" customHeight="1" x14ac:dyDescent="0.25">
      <c r="C120" s="332"/>
      <c r="D120" s="701"/>
      <c r="E120" s="448"/>
      <c r="F120" s="416"/>
      <c r="G120" s="405"/>
      <c r="H120" s="829"/>
      <c r="I120" s="532"/>
      <c r="J120" s="366"/>
      <c r="K120" s="432"/>
      <c r="L120" s="432"/>
      <c r="M120" s="770"/>
      <c r="N120" s="448"/>
      <c r="O120" s="660" t="s">
        <v>4</v>
      </c>
      <c r="P120" s="538">
        <f>M119</f>
        <v>6350.4000000000005</v>
      </c>
      <c r="Q120" s="473">
        <f>P120/P120</f>
        <v>1</v>
      </c>
      <c r="R120" s="538">
        <f>D119</f>
        <v>588</v>
      </c>
      <c r="S120" s="365">
        <f>R120/R120</f>
        <v>1</v>
      </c>
      <c r="T120" s="525"/>
      <c r="U120" s="368" t="s">
        <v>429</v>
      </c>
      <c r="V120" s="455">
        <v>0</v>
      </c>
      <c r="W120" s="532"/>
      <c r="X120" s="4"/>
      <c r="Y120" s="4"/>
      <c r="Z120" s="4"/>
      <c r="AA120" s="421">
        <f>1/AB120</f>
        <v>3.0864197530864196E-3</v>
      </c>
      <c r="AB120" s="416">
        <f>AB122</f>
        <v>324</v>
      </c>
      <c r="AC120" s="411">
        <f>AC122</f>
        <v>10.8</v>
      </c>
      <c r="AD120" s="748">
        <f>AC120*D119*V120</f>
        <v>0</v>
      </c>
      <c r="AE120" s="720"/>
      <c r="AF120" s="733"/>
      <c r="AG120" s="733"/>
      <c r="AH120" s="733"/>
      <c r="AI120" s="733"/>
      <c r="AJ120" s="733"/>
      <c r="AK120" s="733"/>
      <c r="AL120" s="733"/>
      <c r="AM120" s="722">
        <f>AD120</f>
        <v>0</v>
      </c>
      <c r="AN120" s="721"/>
      <c r="AO120" s="721"/>
      <c r="AP120" s="721"/>
      <c r="AQ120" s="721"/>
      <c r="AR120" s="649"/>
    </row>
    <row r="121" spans="3:50" ht="15.75" customHeight="1" thickBot="1" x14ac:dyDescent="0.3">
      <c r="C121" s="332"/>
      <c r="D121" s="701"/>
      <c r="E121" s="448"/>
      <c r="F121" s="416"/>
      <c r="G121" s="405"/>
      <c r="H121" s="829"/>
      <c r="I121" s="532"/>
      <c r="J121" s="366"/>
      <c r="K121" s="432"/>
      <c r="L121" s="432"/>
      <c r="M121" s="770"/>
      <c r="N121" s="448"/>
      <c r="O121" s="659"/>
      <c r="P121" s="758"/>
      <c r="Q121" s="810"/>
      <c r="R121" s="758"/>
      <c r="S121" s="796"/>
      <c r="T121" s="525"/>
      <c r="U121" s="368" t="s">
        <v>406</v>
      </c>
      <c r="V121" s="295">
        <v>0</v>
      </c>
      <c r="W121" s="532"/>
      <c r="X121" s="612"/>
      <c r="Y121" s="612"/>
      <c r="Z121" s="421"/>
      <c r="AA121" s="421">
        <f>1/AB121</f>
        <v>3.0864197530864196E-3</v>
      </c>
      <c r="AB121" s="416">
        <f>AB122</f>
        <v>324</v>
      </c>
      <c r="AC121" s="411">
        <f>AC122</f>
        <v>10.8</v>
      </c>
      <c r="AD121" s="748">
        <f>AC121*D119*V121</f>
        <v>0</v>
      </c>
      <c r="AE121" s="736"/>
      <c r="AF121" s="733"/>
      <c r="AG121" s="733"/>
      <c r="AH121" s="733"/>
      <c r="AI121" s="733"/>
      <c r="AJ121" s="733"/>
      <c r="AK121" s="733"/>
      <c r="AL121" s="733"/>
      <c r="AM121" s="733"/>
      <c r="AN121" s="721"/>
      <c r="AO121" s="721"/>
      <c r="AP121" s="721"/>
      <c r="AQ121" s="722">
        <f>AD121</f>
        <v>0</v>
      </c>
      <c r="AR121" s="649"/>
    </row>
    <row r="122" spans="3:50" ht="15.75" customHeight="1" thickBot="1" x14ac:dyDescent="0.3">
      <c r="C122" s="335"/>
      <c r="D122" s="702"/>
      <c r="E122" s="456"/>
      <c r="F122" s="440"/>
      <c r="G122" s="404"/>
      <c r="H122" s="830"/>
      <c r="I122" s="705"/>
      <c r="J122" s="390"/>
      <c r="K122" s="439"/>
      <c r="L122" s="439"/>
      <c r="M122" s="771"/>
      <c r="N122" s="456"/>
      <c r="O122" s="662"/>
      <c r="P122" s="692"/>
      <c r="Q122" s="663"/>
      <c r="R122" s="692"/>
      <c r="S122" s="664"/>
      <c r="T122" s="527"/>
      <c r="U122" s="674" t="s">
        <v>57</v>
      </c>
      <c r="V122" s="412">
        <f>1-SUM(V120:V121)</f>
        <v>1</v>
      </c>
      <c r="W122" s="705">
        <f>AB122*72</f>
        <v>23328</v>
      </c>
      <c r="X122" s="384"/>
      <c r="Y122" s="384"/>
      <c r="Z122" s="384"/>
      <c r="AA122" s="454">
        <f>1/AB122</f>
        <v>3.0864197530864196E-3</v>
      </c>
      <c r="AB122" s="385">
        <f>L119</f>
        <v>324</v>
      </c>
      <c r="AC122" s="406">
        <f>K119</f>
        <v>10.8</v>
      </c>
      <c r="AD122" s="747">
        <f>AC122*V122*D119</f>
        <v>6350.4000000000005</v>
      </c>
      <c r="AE122" s="734"/>
      <c r="AF122" s="735"/>
      <c r="AG122" s="729">
        <f>+AD122</f>
        <v>6350.4000000000005</v>
      </c>
      <c r="AH122" s="735"/>
      <c r="AI122" s="735"/>
      <c r="AJ122" s="730"/>
      <c r="AK122" s="730"/>
      <c r="AL122" s="730"/>
      <c r="AM122" s="730"/>
      <c r="AN122" s="730"/>
      <c r="AO122" s="730"/>
      <c r="AP122" s="730"/>
      <c r="AQ122" s="730"/>
      <c r="AR122" s="652"/>
    </row>
    <row r="123" spans="3:50" ht="15.75" customHeight="1" thickBot="1" x14ac:dyDescent="0.3">
      <c r="C123" s="331" t="s">
        <v>12</v>
      </c>
      <c r="D123" s="1330">
        <v>2073</v>
      </c>
      <c r="E123" s="1331">
        <f>D123/D141</f>
        <v>2.3907835053675826E-2</v>
      </c>
      <c r="F123" s="757">
        <v>20000</v>
      </c>
      <c r="G123" s="453">
        <v>0.6</v>
      </c>
      <c r="H123" s="757">
        <f>F123*G123</f>
        <v>12000</v>
      </c>
      <c r="I123" s="757">
        <f>D123/H123</f>
        <v>0.17274999999999999</v>
      </c>
      <c r="J123" s="797">
        <f>I123/I141</f>
        <v>1.6795102505058794E-5</v>
      </c>
      <c r="K123" s="1324">
        <f>L123/H123</f>
        <v>0.22666666666666666</v>
      </c>
      <c r="L123" s="1332">
        <v>2720</v>
      </c>
      <c r="M123" s="759">
        <f>D123*K123</f>
        <v>469.88</v>
      </c>
      <c r="N123" s="1331">
        <f>M123/M141</f>
        <v>3.9508583016908336E-3</v>
      </c>
      <c r="O123" s="683" t="s">
        <v>60</v>
      </c>
      <c r="P123" s="757">
        <f>SUM(P124)</f>
        <v>469.88</v>
      </c>
      <c r="Q123" s="809">
        <f>SUM(Q124)</f>
        <v>1</v>
      </c>
      <c r="R123" s="757">
        <f>SUM(R124)</f>
        <v>2073</v>
      </c>
      <c r="S123" s="795">
        <f>SUM(S124)</f>
        <v>1</v>
      </c>
      <c r="T123" s="684"/>
      <c r="U123" s="672" t="s">
        <v>56</v>
      </c>
      <c r="V123" s="381"/>
      <c r="W123" s="538"/>
      <c r="X123" s="369"/>
      <c r="Y123" s="369"/>
      <c r="Z123" s="363"/>
      <c r="AA123" s="363"/>
      <c r="AB123" s="364"/>
      <c r="AC123" s="411"/>
      <c r="AD123" s="748">
        <f>SUM(AD124:AD127)</f>
        <v>469.88</v>
      </c>
      <c r="AE123" s="725"/>
      <c r="AF123" s="733"/>
      <c r="AG123" s="733"/>
      <c r="AH123" s="733"/>
      <c r="AI123" s="733"/>
      <c r="AJ123" s="733"/>
      <c r="AK123" s="733"/>
      <c r="AL123" s="733"/>
      <c r="AM123" s="733"/>
      <c r="AN123" s="721"/>
      <c r="AO123" s="721"/>
      <c r="AP123" s="721"/>
      <c r="AQ123" s="723"/>
      <c r="AR123" s="654"/>
    </row>
    <row r="124" spans="3:50" ht="15.75" customHeight="1" x14ac:dyDescent="0.25">
      <c r="C124" s="334"/>
      <c r="D124" s="1333"/>
      <c r="E124" s="546"/>
      <c r="F124" s="364"/>
      <c r="G124" s="381"/>
      <c r="H124" s="538"/>
      <c r="I124" s="538"/>
      <c r="J124" s="661"/>
      <c r="K124" s="1334"/>
      <c r="L124" s="1334"/>
      <c r="M124" s="538"/>
      <c r="N124" s="546"/>
      <c r="O124" s="660" t="s">
        <v>3</v>
      </c>
      <c r="P124" s="538">
        <f>M123</f>
        <v>469.88</v>
      </c>
      <c r="Q124" s="473">
        <f>P124/P124</f>
        <v>1</v>
      </c>
      <c r="R124" s="538">
        <f>D123</f>
        <v>2073</v>
      </c>
      <c r="S124" s="365">
        <f>R124/R124</f>
        <v>1</v>
      </c>
      <c r="T124" s="525"/>
      <c r="U124" s="368" t="s">
        <v>421</v>
      </c>
      <c r="V124" s="294">
        <v>0</v>
      </c>
      <c r="W124" s="538"/>
      <c r="X124" s="369"/>
      <c r="Y124" s="369"/>
      <c r="Z124" s="613"/>
      <c r="AA124" s="613"/>
      <c r="AB124" s="416">
        <f t="shared" ref="AB124:AC126" si="120">AB125</f>
        <v>2720</v>
      </c>
      <c r="AC124" s="616">
        <f t="shared" si="120"/>
        <v>0.22666666666666666</v>
      </c>
      <c r="AD124" s="748">
        <f>AC124*D123*V124</f>
        <v>0</v>
      </c>
      <c r="AE124" s="720"/>
      <c r="AF124" s="733"/>
      <c r="AG124" s="733"/>
      <c r="AI124" s="738">
        <f>AD124</f>
        <v>0</v>
      </c>
      <c r="AJ124" s="733"/>
      <c r="AK124" s="733"/>
      <c r="AL124" s="733"/>
      <c r="AM124" s="733"/>
      <c r="AN124" s="721"/>
      <c r="AO124" s="721"/>
      <c r="AP124" s="721"/>
      <c r="AQ124" s="723"/>
      <c r="AR124" s="654"/>
    </row>
    <row r="125" spans="3:50" ht="15.75" customHeight="1" x14ac:dyDescent="0.25">
      <c r="C125" s="334"/>
      <c r="D125" s="1333"/>
      <c r="E125" s="546"/>
      <c r="F125" s="364"/>
      <c r="G125" s="381"/>
      <c r="H125" s="538"/>
      <c r="I125" s="538"/>
      <c r="J125" s="661"/>
      <c r="K125" s="1334"/>
      <c r="L125" s="1334"/>
      <c r="M125" s="538"/>
      <c r="N125" s="546"/>
      <c r="O125" s="659"/>
      <c r="P125" s="758"/>
      <c r="Q125" s="810"/>
      <c r="R125" s="758"/>
      <c r="S125" s="796"/>
      <c r="T125" s="525"/>
      <c r="U125" s="368" t="s">
        <v>100</v>
      </c>
      <c r="V125" s="375">
        <v>0</v>
      </c>
      <c r="W125" s="538"/>
      <c r="X125" s="369"/>
      <c r="Y125" s="369"/>
      <c r="Z125" s="613"/>
      <c r="AA125" s="613"/>
      <c r="AB125" s="416">
        <f t="shared" si="120"/>
        <v>2720</v>
      </c>
      <c r="AC125" s="616">
        <f t="shared" si="120"/>
        <v>0.22666666666666666</v>
      </c>
      <c r="AD125" s="748">
        <f>AC125*D123*V125</f>
        <v>0</v>
      </c>
      <c r="AE125" s="720"/>
      <c r="AF125" s="733"/>
      <c r="AG125" s="733"/>
      <c r="AH125" s="721"/>
      <c r="AI125" s="721"/>
      <c r="AJ125" s="721"/>
      <c r="AK125" s="721"/>
      <c r="AL125" s="738">
        <f>AD125</f>
        <v>0</v>
      </c>
      <c r="AM125" s="721"/>
      <c r="AN125" s="721"/>
      <c r="AO125" s="721"/>
      <c r="AP125" s="721"/>
      <c r="AQ125" s="723"/>
      <c r="AR125" s="654"/>
    </row>
    <row r="126" spans="3:50" ht="15.75" customHeight="1" thickBot="1" x14ac:dyDescent="0.3">
      <c r="C126" s="334"/>
      <c r="D126" s="1333"/>
      <c r="E126" s="546"/>
      <c r="F126" s="364"/>
      <c r="G126" s="381"/>
      <c r="H126" s="538"/>
      <c r="I126" s="538"/>
      <c r="J126" s="661"/>
      <c r="K126" s="1334"/>
      <c r="L126" s="1334"/>
      <c r="M126" s="538"/>
      <c r="N126" s="546"/>
      <c r="O126" s="660"/>
      <c r="P126" s="538"/>
      <c r="Q126" s="473"/>
      <c r="R126" s="538"/>
      <c r="S126" s="661"/>
      <c r="T126" s="525"/>
      <c r="U126" s="391" t="s">
        <v>409</v>
      </c>
      <c r="V126" s="295">
        <v>0</v>
      </c>
      <c r="W126" s="517"/>
      <c r="AB126" s="416">
        <f t="shared" si="120"/>
        <v>2720</v>
      </c>
      <c r="AC126" s="616">
        <f t="shared" si="120"/>
        <v>0.22666666666666666</v>
      </c>
      <c r="AD126" s="748">
        <f>AC126*D123*V126</f>
        <v>0</v>
      </c>
      <c r="AE126" s="720"/>
      <c r="AF126" s="733"/>
      <c r="AG126" s="733"/>
      <c r="AH126" s="738">
        <f>AD126</f>
        <v>0</v>
      </c>
      <c r="AI126" s="721"/>
      <c r="AJ126" s="721"/>
      <c r="AK126" s="721"/>
      <c r="AL126" s="721"/>
      <c r="AM126" s="721"/>
      <c r="AN126" s="721"/>
      <c r="AO126" s="721"/>
      <c r="AP126" s="721"/>
      <c r="AQ126" s="721"/>
      <c r="AR126" s="649"/>
    </row>
    <row r="127" spans="3:50" ht="15.75" customHeight="1" thickBot="1" x14ac:dyDescent="0.3">
      <c r="C127" s="334"/>
      <c r="D127" s="1333"/>
      <c r="E127" s="546"/>
      <c r="F127" s="385"/>
      <c r="G127" s="665"/>
      <c r="H127" s="692"/>
      <c r="I127" s="692"/>
      <c r="J127" s="664"/>
      <c r="K127" s="1334"/>
      <c r="L127" s="1334"/>
      <c r="M127" s="538"/>
      <c r="N127" s="546"/>
      <c r="O127" s="662"/>
      <c r="P127" s="692"/>
      <c r="Q127" s="663"/>
      <c r="R127" s="692"/>
      <c r="S127" s="664"/>
      <c r="T127" s="527"/>
      <c r="U127" s="675" t="s">
        <v>57</v>
      </c>
      <c r="V127" s="459">
        <f>1-SUM(V124:V126)</f>
        <v>1</v>
      </c>
      <c r="W127" s="692">
        <f>AB127*78</f>
        <v>212160</v>
      </c>
      <c r="X127" s="408"/>
      <c r="Y127" s="408"/>
      <c r="Z127" s="454"/>
      <c r="AA127" s="454"/>
      <c r="AB127" s="440">
        <f>((I123*L123)+(I127*L127))/SUM(I123+I127)</f>
        <v>2720</v>
      </c>
      <c r="AC127" s="406">
        <f>((K123*D123)+(K127*D127))/SUM(D123,D127)</f>
        <v>0.22666666666666666</v>
      </c>
      <c r="AD127" s="747">
        <f>(V127*D123*AC127)</f>
        <v>469.88</v>
      </c>
      <c r="AE127" s="734"/>
      <c r="AF127" s="907">
        <f>AD127</f>
        <v>469.88</v>
      </c>
      <c r="AG127" s="730"/>
      <c r="AH127" s="730"/>
      <c r="AI127" s="730"/>
      <c r="AJ127" s="730"/>
      <c r="AK127" s="730"/>
      <c r="AL127" s="730"/>
      <c r="AM127" s="730"/>
      <c r="AN127" s="730"/>
      <c r="AO127" s="730"/>
      <c r="AP127" s="730"/>
      <c r="AQ127" s="731"/>
      <c r="AR127" s="709"/>
    </row>
    <row r="128" spans="3:50" ht="15.75" customHeight="1" thickBot="1" x14ac:dyDescent="0.3">
      <c r="C128" s="331" t="s">
        <v>13</v>
      </c>
      <c r="D128" s="1330">
        <v>59694</v>
      </c>
      <c r="E128" s="1331">
        <f>D128/D141</f>
        <v>0.68844877264550164</v>
      </c>
      <c r="F128" s="757">
        <v>75000</v>
      </c>
      <c r="G128" s="453">
        <v>0.7</v>
      </c>
      <c r="H128" s="757">
        <f>F128*G128</f>
        <v>52500</v>
      </c>
      <c r="I128" s="757">
        <f>D128/H128</f>
        <v>1.1370285714285715</v>
      </c>
      <c r="J128" s="797">
        <f>I128/I141</f>
        <v>1.1054420496858712E-4</v>
      </c>
      <c r="K128" s="1335">
        <f>L128/H128</f>
        <v>5.4285714285714284E-2</v>
      </c>
      <c r="L128" s="1332">
        <v>2850</v>
      </c>
      <c r="M128" s="759">
        <f>D128*K128</f>
        <v>3240.5314285714285</v>
      </c>
      <c r="N128" s="1331">
        <f>M128/M141</f>
        <v>2.724712798259446E-2</v>
      </c>
      <c r="O128" s="683" t="s">
        <v>60</v>
      </c>
      <c r="P128" s="757">
        <f>SUM(P129)</f>
        <v>3240.5314285714285</v>
      </c>
      <c r="Q128" s="809">
        <f>SUM(Q129)</f>
        <v>1</v>
      </c>
      <c r="R128" s="757">
        <f>SUM(R129)</f>
        <v>59694</v>
      </c>
      <c r="S128" s="795">
        <f>SUM(S129)</f>
        <v>1</v>
      </c>
      <c r="T128" s="684"/>
      <c r="U128" s="672" t="s">
        <v>56</v>
      </c>
      <c r="V128" s="381"/>
      <c r="W128" s="538"/>
      <c r="X128" s="369"/>
      <c r="Y128" s="369"/>
      <c r="Z128" s="363"/>
      <c r="AA128" s="363"/>
      <c r="AB128" s="364"/>
      <c r="AC128" s="411"/>
      <c r="AD128" s="748">
        <f>SUM(AD129:AD132)</f>
        <v>3240.5314285714285</v>
      </c>
      <c r="AE128" s="725"/>
      <c r="AF128" s="733"/>
      <c r="AG128" s="733"/>
      <c r="AH128" s="733"/>
      <c r="AI128" s="733"/>
      <c r="AJ128" s="733"/>
      <c r="AK128" s="733"/>
      <c r="AL128" s="733"/>
      <c r="AM128" s="733"/>
      <c r="AN128" s="721"/>
      <c r="AO128" s="721"/>
      <c r="AP128" s="721"/>
      <c r="AQ128" s="723"/>
      <c r="AR128" s="654"/>
    </row>
    <row r="129" spans="3:53" ht="15.75" customHeight="1" x14ac:dyDescent="0.25">
      <c r="C129" s="334"/>
      <c r="D129" s="701"/>
      <c r="E129" s="448"/>
      <c r="F129" s="416"/>
      <c r="G129" s="405"/>
      <c r="H129" s="829"/>
      <c r="I129" s="532"/>
      <c r="J129" s="366"/>
      <c r="K129" s="432"/>
      <c r="L129" s="432"/>
      <c r="M129" s="532"/>
      <c r="N129" s="448"/>
      <c r="O129" s="660" t="s">
        <v>3</v>
      </c>
      <c r="P129" s="538">
        <f>M128</f>
        <v>3240.5314285714285</v>
      </c>
      <c r="Q129" s="473">
        <f>Q124</f>
        <v>1</v>
      </c>
      <c r="R129" s="538">
        <f>D128</f>
        <v>59694</v>
      </c>
      <c r="S129" s="365">
        <f>R129/R129</f>
        <v>1</v>
      </c>
      <c r="T129" s="525"/>
      <c r="U129" s="391" t="s">
        <v>421</v>
      </c>
      <c r="V129" s="294">
        <v>0</v>
      </c>
      <c r="W129" s="538"/>
      <c r="X129" s="369"/>
      <c r="Y129" s="369"/>
      <c r="Z129" s="613"/>
      <c r="AA129" s="613"/>
      <c r="AB129" s="416">
        <f t="shared" ref="AB129:AC131" si="121">AB130</f>
        <v>2850</v>
      </c>
      <c r="AC129" s="616">
        <f t="shared" si="121"/>
        <v>5.4285714285714284E-2</v>
      </c>
      <c r="AD129" s="748">
        <f>AC129*D128*V129</f>
        <v>0</v>
      </c>
      <c r="AE129" s="720"/>
      <c r="AF129" s="733"/>
      <c r="AG129" s="733"/>
      <c r="AI129" s="738">
        <f>AD129</f>
        <v>0</v>
      </c>
      <c r="AJ129" s="733"/>
      <c r="AK129" s="733"/>
      <c r="AL129" s="733"/>
      <c r="AM129" s="733"/>
      <c r="AN129" s="721"/>
      <c r="AO129" s="721"/>
      <c r="AP129" s="721"/>
      <c r="AQ129" s="723"/>
      <c r="AR129" s="654"/>
    </row>
    <row r="130" spans="3:53" ht="15.75" customHeight="1" x14ac:dyDescent="0.25">
      <c r="C130" s="334"/>
      <c r="D130" s="701"/>
      <c r="E130" s="448"/>
      <c r="F130" s="416"/>
      <c r="G130" s="405"/>
      <c r="H130" s="829"/>
      <c r="I130" s="532"/>
      <c r="J130" s="366"/>
      <c r="K130" s="432"/>
      <c r="L130" s="432"/>
      <c r="M130" s="532"/>
      <c r="N130" s="448"/>
      <c r="O130" s="659"/>
      <c r="P130" s="758"/>
      <c r="Q130" s="810"/>
      <c r="R130" s="758"/>
      <c r="S130" s="796"/>
      <c r="T130" s="525"/>
      <c r="U130" s="391" t="s">
        <v>291</v>
      </c>
      <c r="V130" s="375">
        <v>0</v>
      </c>
      <c r="W130" s="538"/>
      <c r="X130" s="369"/>
      <c r="Y130" s="369"/>
      <c r="Z130" s="613"/>
      <c r="AA130" s="613"/>
      <c r="AB130" s="416">
        <f t="shared" si="121"/>
        <v>2850</v>
      </c>
      <c r="AC130" s="616">
        <f t="shared" si="121"/>
        <v>5.4285714285714284E-2</v>
      </c>
      <c r="AD130" s="748">
        <f>AC130*D128*V130</f>
        <v>0</v>
      </c>
      <c r="AE130" s="720"/>
      <c r="AF130" s="733"/>
      <c r="AG130" s="733"/>
      <c r="AH130" s="721"/>
      <c r="AI130" s="721"/>
      <c r="AJ130" s="721"/>
      <c r="AK130" s="721"/>
      <c r="AL130" s="738">
        <f>AD130</f>
        <v>0</v>
      </c>
      <c r="AM130" s="721"/>
      <c r="AN130" s="721"/>
      <c r="AO130" s="721"/>
      <c r="AP130" s="721"/>
      <c r="AQ130" s="723"/>
      <c r="AR130" s="654"/>
    </row>
    <row r="131" spans="3:53" ht="15.75" customHeight="1" thickBot="1" x14ac:dyDescent="0.3">
      <c r="C131" s="332"/>
      <c r="D131" s="701"/>
      <c r="E131" s="448"/>
      <c r="F131" s="416"/>
      <c r="G131" s="405"/>
      <c r="H131" s="829"/>
      <c r="I131" s="532"/>
      <c r="J131" s="895"/>
      <c r="K131" s="432"/>
      <c r="L131" s="432"/>
      <c r="M131" s="532"/>
      <c r="N131" s="448"/>
      <c r="O131" s="660"/>
      <c r="P131" s="538"/>
      <c r="Q131" s="473"/>
      <c r="R131" s="538"/>
      <c r="S131" s="661"/>
      <c r="T131" s="525"/>
      <c r="U131" s="391" t="s">
        <v>409</v>
      </c>
      <c r="V131" s="295">
        <v>0</v>
      </c>
      <c r="W131" s="517"/>
      <c r="AB131" s="416">
        <f t="shared" si="121"/>
        <v>2850</v>
      </c>
      <c r="AC131" s="616">
        <f t="shared" si="121"/>
        <v>5.4285714285714284E-2</v>
      </c>
      <c r="AD131" s="748">
        <f>AC131*D128*V131</f>
        <v>0</v>
      </c>
      <c r="AE131" s="720"/>
      <c r="AF131" s="733"/>
      <c r="AG131" s="733"/>
      <c r="AH131" s="738">
        <f>AD131</f>
        <v>0</v>
      </c>
      <c r="AI131" s="721"/>
      <c r="AJ131" s="721"/>
      <c r="AK131" s="721"/>
      <c r="AL131" s="721"/>
      <c r="AM131" s="721"/>
      <c r="AN131" s="721"/>
      <c r="AO131" s="721"/>
      <c r="AP131" s="721"/>
      <c r="AQ131" s="721"/>
      <c r="AR131" s="649"/>
    </row>
    <row r="132" spans="3:53" ht="15.75" customHeight="1" thickBot="1" x14ac:dyDescent="0.3">
      <c r="C132" s="332"/>
      <c r="D132" s="701"/>
      <c r="E132" s="448"/>
      <c r="F132" s="416"/>
      <c r="G132" s="405"/>
      <c r="H132" s="829"/>
      <c r="I132" s="532"/>
      <c r="J132" s="366"/>
      <c r="K132" s="432"/>
      <c r="L132" s="432"/>
      <c r="M132" s="532"/>
      <c r="N132" s="448"/>
      <c r="O132" s="660"/>
      <c r="P132" s="538"/>
      <c r="Q132" s="473"/>
      <c r="R132" s="538"/>
      <c r="S132" s="661"/>
      <c r="T132" s="525"/>
      <c r="U132" s="675" t="s">
        <v>57</v>
      </c>
      <c r="V132" s="459">
        <f>1-SUM(V129:V131)</f>
        <v>1</v>
      </c>
      <c r="W132" s="538">
        <f>AB132*78</f>
        <v>222300</v>
      </c>
      <c r="X132" s="369"/>
      <c r="Y132" s="369"/>
      <c r="Z132" s="613"/>
      <c r="AA132" s="613"/>
      <c r="AB132" s="416">
        <f>((I128*L128)+(I132*L132))/SUM(I128+I132)</f>
        <v>2850</v>
      </c>
      <c r="AC132" s="411">
        <f>((K128*D128)+(K132*D132))/SUM(D128,D132)</f>
        <v>5.4285714285714284E-2</v>
      </c>
      <c r="AD132" s="747">
        <f>(V132*D128*AC132)</f>
        <v>3240.5314285714285</v>
      </c>
      <c r="AE132" s="734"/>
      <c r="AF132" s="907">
        <f>AD132</f>
        <v>3240.5314285714285</v>
      </c>
      <c r="AG132" s="730"/>
      <c r="AH132" s="730"/>
      <c r="AI132" s="730"/>
      <c r="AJ132" s="730"/>
      <c r="AK132" s="730"/>
      <c r="AL132" s="730"/>
      <c r="AM132" s="730"/>
      <c r="AN132" s="730"/>
      <c r="AO132" s="730"/>
      <c r="AP132" s="730"/>
      <c r="AQ132" s="731"/>
      <c r="AR132" s="709"/>
    </row>
    <row r="133" spans="3:53" ht="16.5" customHeight="1" thickBot="1" x14ac:dyDescent="0.3">
      <c r="C133" s="331" t="s">
        <v>111</v>
      </c>
      <c r="D133" s="698" t="s">
        <v>114</v>
      </c>
      <c r="E133" s="392" t="s">
        <v>114</v>
      </c>
      <c r="F133" s="1910" t="s">
        <v>303</v>
      </c>
      <c r="G133" s="1911"/>
      <c r="H133" s="1912"/>
      <c r="I133" s="693" t="s">
        <v>114</v>
      </c>
      <c r="J133" s="393" t="s">
        <v>114</v>
      </c>
      <c r="K133" s="407" t="s">
        <v>114</v>
      </c>
      <c r="L133" s="56" t="s">
        <v>114</v>
      </c>
      <c r="M133" s="693">
        <f>SUM(M134:M139)</f>
        <v>27795.15789473684</v>
      </c>
      <c r="N133" s="392">
        <f>M133/M141</f>
        <v>0.23370803250878641</v>
      </c>
      <c r="O133" s="682" t="s">
        <v>60</v>
      </c>
      <c r="P133" s="759">
        <f>SUM(P134:P139)</f>
        <v>27795.15789473684</v>
      </c>
      <c r="Q133" s="801" t="s">
        <v>114</v>
      </c>
      <c r="R133" s="759" t="s">
        <v>114</v>
      </c>
      <c r="S133" s="797" t="s">
        <v>114</v>
      </c>
      <c r="T133" s="680"/>
      <c r="U133" s="446" t="s">
        <v>60</v>
      </c>
      <c r="V133" s="1571" t="s">
        <v>124</v>
      </c>
      <c r="W133" s="774"/>
      <c r="X133" s="623"/>
      <c r="Y133" s="623"/>
      <c r="Z133" s="462"/>
      <c r="AA133" s="462"/>
      <c r="AB133" s="621" t="s">
        <v>125</v>
      </c>
      <c r="AC133" s="622" t="s">
        <v>128</v>
      </c>
      <c r="AD133" s="750">
        <f>SUM(AD134:AD140)</f>
        <v>27795.15789473684</v>
      </c>
      <c r="AE133" s="720"/>
      <c r="AF133" s="721"/>
      <c r="AG133" s="721"/>
      <c r="AH133" s="721"/>
      <c r="AI133" s="721"/>
      <c r="AJ133" s="721"/>
      <c r="AK133" s="721"/>
      <c r="AL133" s="721"/>
      <c r="AM133" s="721"/>
      <c r="AN133" s="721"/>
      <c r="AO133" s="721"/>
      <c r="AP133" s="721"/>
      <c r="AQ133" s="721"/>
      <c r="AR133" s="654"/>
    </row>
    <row r="134" spans="3:53" ht="15.75" customHeight="1" x14ac:dyDescent="0.25">
      <c r="C134" s="330" t="s">
        <v>118</v>
      </c>
      <c r="D134" s="701"/>
      <c r="E134" s="448"/>
      <c r="F134" s="1896" t="s">
        <v>113</v>
      </c>
      <c r="G134" s="1897"/>
      <c r="H134" s="449">
        <v>0</v>
      </c>
      <c r="J134" s="366"/>
      <c r="K134" s="432"/>
      <c r="L134" s="432"/>
      <c r="M134" s="532">
        <f>5+9+1099</f>
        <v>1113</v>
      </c>
      <c r="N134" s="448">
        <f>M134/M141</f>
        <v>9.3583580696814037E-3</v>
      </c>
      <c r="O134" s="660" t="s">
        <v>113</v>
      </c>
      <c r="P134" s="538">
        <f t="shared" ref="P134:P139" si="122">M134*(1-H134)</f>
        <v>1113</v>
      </c>
      <c r="Q134" s="473"/>
      <c r="R134" s="538"/>
      <c r="S134" s="661"/>
      <c r="T134" s="525"/>
      <c r="U134" s="1539" t="s">
        <v>427</v>
      </c>
      <c r="V134" s="346"/>
      <c r="W134" s="517"/>
      <c r="X134" s="369"/>
      <c r="Y134" s="369"/>
      <c r="AB134" s="463">
        <v>0</v>
      </c>
      <c r="AC134" s="464" t="s">
        <v>127</v>
      </c>
      <c r="AD134" s="748">
        <f>AB134*(P137+P138)</f>
        <v>0</v>
      </c>
      <c r="AE134" s="720"/>
      <c r="AF134" s="721"/>
      <c r="AG134" s="721"/>
      <c r="AH134" s="721"/>
      <c r="AI134" s="722">
        <f>AD134</f>
        <v>0</v>
      </c>
      <c r="AJ134" s="721"/>
      <c r="AK134" s="721"/>
      <c r="AL134" s="721"/>
      <c r="AM134" s="721"/>
      <c r="AN134" s="721"/>
      <c r="AO134" s="721"/>
      <c r="AP134" s="721"/>
      <c r="AQ134" s="721"/>
      <c r="AR134" s="649"/>
    </row>
    <row r="135" spans="3:53" ht="15.75" customHeight="1" x14ac:dyDescent="0.25">
      <c r="C135" s="330" t="s">
        <v>119</v>
      </c>
      <c r="D135" s="701"/>
      <c r="E135" s="417"/>
      <c r="F135" s="1896" t="s">
        <v>112</v>
      </c>
      <c r="G135" s="1897"/>
      <c r="H135" s="465">
        <v>0</v>
      </c>
      <c r="J135" s="366"/>
      <c r="K135" s="432"/>
      <c r="L135" s="432"/>
      <c r="M135" s="532">
        <v>1079</v>
      </c>
      <c r="N135" s="448">
        <f>M135/M141</f>
        <v>9.0724783083434273E-3</v>
      </c>
      <c r="O135" s="660" t="s">
        <v>112</v>
      </c>
      <c r="P135" s="538">
        <f t="shared" si="122"/>
        <v>1079</v>
      </c>
      <c r="Q135" s="473"/>
      <c r="R135" s="538"/>
      <c r="S135" s="661"/>
      <c r="T135" s="525"/>
      <c r="U135" s="391" t="s">
        <v>428</v>
      </c>
      <c r="V135" s="346" t="s">
        <v>126</v>
      </c>
      <c r="W135" s="517"/>
      <c r="X135" s="369"/>
      <c r="Y135" s="369"/>
      <c r="Z135" s="466">
        <v>0.25</v>
      </c>
      <c r="AB135" s="463">
        <v>0</v>
      </c>
      <c r="AC135" s="464" t="s">
        <v>127</v>
      </c>
      <c r="AD135" s="748">
        <f>AB135*(P134+P136+P139)</f>
        <v>0</v>
      </c>
      <c r="AE135" s="720"/>
      <c r="AF135" s="721"/>
      <c r="AG135" s="721"/>
      <c r="AH135" s="721"/>
      <c r="AI135" s="722">
        <f>AD135*(1-Z135)</f>
        <v>0</v>
      </c>
      <c r="AJ135" s="721"/>
      <c r="AK135" s="721"/>
      <c r="AL135" s="721"/>
      <c r="AM135" s="721"/>
      <c r="AN135" s="721"/>
      <c r="AO135" s="722">
        <f>AD135*Z135</f>
        <v>0</v>
      </c>
      <c r="AP135" s="721"/>
      <c r="AQ135" s="721"/>
      <c r="AR135" s="649"/>
    </row>
    <row r="136" spans="3:53" ht="15.75" customHeight="1" x14ac:dyDescent="0.25">
      <c r="C136" s="330" t="s">
        <v>115</v>
      </c>
      <c r="D136" s="701"/>
      <c r="E136" s="417"/>
      <c r="F136" s="1894" t="s">
        <v>120</v>
      </c>
      <c r="G136" s="1895"/>
      <c r="H136" s="465">
        <v>0</v>
      </c>
      <c r="J136" s="366"/>
      <c r="K136" s="432"/>
      <c r="L136" s="432"/>
      <c r="M136" s="532">
        <v>14740</v>
      </c>
      <c r="N136" s="448">
        <f>M136/M141</f>
        <v>0.12393728476828741</v>
      </c>
      <c r="O136" s="658" t="s">
        <v>120</v>
      </c>
      <c r="P136" s="538">
        <f t="shared" si="122"/>
        <v>14740</v>
      </c>
      <c r="Q136" s="473"/>
      <c r="R136" s="538"/>
      <c r="S136" s="661"/>
      <c r="T136" s="525"/>
      <c r="U136" s="1540" t="s">
        <v>408</v>
      </c>
      <c r="V136" s="346"/>
      <c r="W136" s="517"/>
      <c r="X136" s="369"/>
      <c r="Y136" s="369"/>
      <c r="AB136" s="463">
        <v>0</v>
      </c>
      <c r="AC136" s="464" t="s">
        <v>127</v>
      </c>
      <c r="AD136" s="748">
        <f>AB136*P135</f>
        <v>0</v>
      </c>
      <c r="AE136" s="720"/>
      <c r="AF136" s="721"/>
      <c r="AG136" s="721"/>
      <c r="AH136" s="721"/>
      <c r="AI136" s="721"/>
      <c r="AJ136" s="721"/>
      <c r="AK136" s="721"/>
      <c r="AL136" s="721"/>
      <c r="AM136" s="722">
        <f>AD136</f>
        <v>0</v>
      </c>
      <c r="AN136" s="721"/>
      <c r="AO136" s="721"/>
      <c r="AP136" s="721"/>
      <c r="AQ136" s="721"/>
      <c r="AR136" s="649"/>
    </row>
    <row r="137" spans="3:53" ht="15.75" customHeight="1" x14ac:dyDescent="0.25">
      <c r="C137" s="330" t="s">
        <v>116</v>
      </c>
      <c r="D137" s="701"/>
      <c r="E137" s="417"/>
      <c r="F137" s="1894" t="s">
        <v>121</v>
      </c>
      <c r="G137" s="1895"/>
      <c r="H137" s="465">
        <v>0</v>
      </c>
      <c r="J137" s="366"/>
      <c r="K137" s="432"/>
      <c r="L137" s="432"/>
      <c r="M137" s="532">
        <v>7760</v>
      </c>
      <c r="N137" s="448">
        <f>M137/M141</f>
        <v>6.5247851411255789E-2</v>
      </c>
      <c r="O137" s="658" t="s">
        <v>121</v>
      </c>
      <c r="P137" s="538">
        <f t="shared" si="122"/>
        <v>7760</v>
      </c>
      <c r="Q137" s="473"/>
      <c r="R137" s="538"/>
      <c r="S137" s="661"/>
      <c r="T137" s="525"/>
      <c r="U137" s="1540" t="s">
        <v>419</v>
      </c>
      <c r="V137" s="346"/>
      <c r="W137" s="517"/>
      <c r="X137" s="369"/>
      <c r="Y137" s="369"/>
      <c r="AB137" s="467" t="s">
        <v>127</v>
      </c>
      <c r="AC137" s="468">
        <v>0</v>
      </c>
      <c r="AD137" s="748">
        <f>AC137*(P137+P138)</f>
        <v>0</v>
      </c>
      <c r="AE137" s="720"/>
      <c r="AF137" s="721"/>
      <c r="AG137" s="721"/>
      <c r="AH137" s="722">
        <f>AD137</f>
        <v>0</v>
      </c>
      <c r="AI137" s="721"/>
      <c r="AJ137" s="721"/>
      <c r="AK137" s="721"/>
      <c r="AL137" s="721"/>
      <c r="AM137" s="721"/>
      <c r="AN137" s="721"/>
      <c r="AO137" s="721"/>
      <c r="AP137" s="721"/>
      <c r="AQ137" s="721"/>
      <c r="AR137" s="649"/>
    </row>
    <row r="138" spans="3:53" ht="15.75" customHeight="1" x14ac:dyDescent="0.25">
      <c r="C138" s="330" t="s">
        <v>292</v>
      </c>
      <c r="D138" s="701"/>
      <c r="E138" s="448"/>
      <c r="F138" s="1894" t="s">
        <v>312</v>
      </c>
      <c r="G138" s="1895"/>
      <c r="H138" s="465">
        <v>0</v>
      </c>
      <c r="J138" s="366"/>
      <c r="K138" s="432"/>
      <c r="L138" s="432"/>
      <c r="M138" s="532">
        <v>517.19298245614004</v>
      </c>
      <c r="N138" s="448">
        <f>M138/M141</f>
        <v>4.3486766585363983E-3</v>
      </c>
      <c r="O138" s="658" t="s">
        <v>122</v>
      </c>
      <c r="P138" s="538">
        <f t="shared" si="122"/>
        <v>517.19298245614004</v>
      </c>
      <c r="Q138" s="473"/>
      <c r="R138" s="538"/>
      <c r="S138" s="661"/>
      <c r="T138" s="525"/>
      <c r="U138" s="1540" t="s">
        <v>420</v>
      </c>
      <c r="V138" s="346" t="s">
        <v>126</v>
      </c>
      <c r="W138" s="517"/>
      <c r="X138" s="369"/>
      <c r="Y138" s="369"/>
      <c r="Z138" s="466">
        <v>0.25</v>
      </c>
      <c r="AB138" s="467" t="s">
        <v>127</v>
      </c>
      <c r="AC138" s="468">
        <v>0</v>
      </c>
      <c r="AD138" s="748">
        <f>AC138*(P134+P136+P139)</f>
        <v>0</v>
      </c>
      <c r="AE138" s="720"/>
      <c r="AF138" s="721"/>
      <c r="AG138" s="721"/>
      <c r="AH138" s="722">
        <f>AD138*(1-Z138)</f>
        <v>0</v>
      </c>
      <c r="AI138" s="721"/>
      <c r="AJ138" s="721"/>
      <c r="AK138" s="721"/>
      <c r="AL138" s="721"/>
      <c r="AM138" s="721"/>
      <c r="AN138" s="721"/>
      <c r="AO138" s="722">
        <f>AD138*Z138</f>
        <v>0</v>
      </c>
      <c r="AP138" s="721"/>
      <c r="AQ138" s="721"/>
      <c r="AR138" s="649"/>
    </row>
    <row r="139" spans="3:53" ht="16.5" customHeight="1" thickBot="1" x14ac:dyDescent="0.3">
      <c r="C139" s="330" t="s">
        <v>117</v>
      </c>
      <c r="D139" s="701"/>
      <c r="E139" s="448"/>
      <c r="F139" s="1894" t="s">
        <v>123</v>
      </c>
      <c r="G139" s="1895"/>
      <c r="H139" s="451">
        <v>0</v>
      </c>
      <c r="J139" s="366"/>
      <c r="K139" s="432"/>
      <c r="L139" s="432"/>
      <c r="M139" s="532">
        <v>2585.9649122807</v>
      </c>
      <c r="N139" s="448">
        <f>M139/M141</f>
        <v>2.1743383292681988E-2</v>
      </c>
      <c r="O139" s="658" t="s">
        <v>123</v>
      </c>
      <c r="P139" s="538">
        <f t="shared" si="122"/>
        <v>2585.9649122807</v>
      </c>
      <c r="Q139" s="473"/>
      <c r="R139" s="538"/>
      <c r="S139" s="661"/>
      <c r="T139" s="525"/>
      <c r="U139" s="1540" t="s">
        <v>407</v>
      </c>
      <c r="V139" s="346"/>
      <c r="W139" s="517"/>
      <c r="X139" s="369"/>
      <c r="Y139" s="369"/>
      <c r="AA139" s="416"/>
      <c r="AB139" s="469" t="s">
        <v>127</v>
      </c>
      <c r="AC139" s="470">
        <v>0</v>
      </c>
      <c r="AD139" s="748">
        <f>AC139*P135</f>
        <v>0</v>
      </c>
      <c r="AE139" s="720"/>
      <c r="AF139" s="721"/>
      <c r="AG139" s="721"/>
      <c r="AH139" s="721"/>
      <c r="AI139" s="721"/>
      <c r="AJ139" s="721"/>
      <c r="AK139" s="721"/>
      <c r="AL139" s="721"/>
      <c r="AM139" s="721"/>
      <c r="AN139" s="721"/>
      <c r="AO139" s="721"/>
      <c r="AP139" s="721"/>
      <c r="AQ139" s="722">
        <f>AD139</f>
        <v>0</v>
      </c>
      <c r="AR139" s="649"/>
    </row>
    <row r="140" spans="3:53" ht="16.5" customHeight="1" thickBot="1" x14ac:dyDescent="0.3">
      <c r="C140" s="334"/>
      <c r="D140" s="701"/>
      <c r="E140" s="448"/>
      <c r="F140" s="560"/>
      <c r="G140" s="460"/>
      <c r="H140" s="836"/>
      <c r="I140" s="532"/>
      <c r="J140" s="366"/>
      <c r="K140" s="432"/>
      <c r="L140" s="432"/>
      <c r="M140" s="532"/>
      <c r="N140" s="448"/>
      <c r="O140" s="659"/>
      <c r="P140" s="758"/>
      <c r="Q140" s="473"/>
      <c r="R140" s="538"/>
      <c r="S140" s="661"/>
      <c r="T140" s="525"/>
      <c r="U140" s="1541" t="s">
        <v>57</v>
      </c>
      <c r="V140" s="381"/>
      <c r="W140" s="538"/>
      <c r="X140" s="369"/>
      <c r="Y140" s="369"/>
      <c r="Z140" s="613"/>
      <c r="AA140" s="381"/>
      <c r="AB140" s="416"/>
      <c r="AC140" s="411"/>
      <c r="AD140" s="748">
        <f>P133-SUM(AD134:AD139)</f>
        <v>27795.15789473684</v>
      </c>
      <c r="AE140" s="720"/>
      <c r="AF140" s="722">
        <f>(P134+P136+P137+P138+P139)-(AD134+AD135+AD137+AD138)</f>
        <v>26716.15789473684</v>
      </c>
      <c r="AG140" s="722">
        <f>P135-AD136-AD139</f>
        <v>1079</v>
      </c>
      <c r="AH140" s="721"/>
      <c r="AI140" s="721"/>
      <c r="AJ140" s="721"/>
      <c r="AK140" s="721"/>
      <c r="AL140" s="721"/>
      <c r="AM140" s="721"/>
      <c r="AN140" s="721"/>
      <c r="AO140" s="721"/>
      <c r="AP140" s="721"/>
      <c r="AQ140" s="721"/>
      <c r="AR140" s="654"/>
      <c r="AT140" s="212"/>
      <c r="AU140" s="212"/>
      <c r="AV140" s="212"/>
      <c r="AW140" s="212"/>
      <c r="AX140" s="212"/>
      <c r="AY140" s="212"/>
    </row>
    <row r="141" spans="3:53" ht="15.75" customHeight="1" thickBot="1" x14ac:dyDescent="0.3">
      <c r="C141" s="511" t="s">
        <v>0</v>
      </c>
      <c r="D141" s="703">
        <f>SUM(D61+D73+D85+D103+D109+D115+D119+D123+D128)</f>
        <v>86707.976500000004</v>
      </c>
      <c r="E141" s="816">
        <f>SUM(E128+E123+E119+E115+E109+E103+E85+E73+E61)</f>
        <v>0.99999999999999989</v>
      </c>
      <c r="F141" s="427"/>
      <c r="G141" s="427"/>
      <c r="H141" s="831"/>
      <c r="I141" s="696">
        <f>SUM(I61+I73+I85+I103+I109+I115+I119+I123+I128)</f>
        <v>10285.736568024313</v>
      </c>
      <c r="J141" s="428">
        <f>J128+J123+J119+J115+J109+J103+J85+J73+J61</f>
        <v>1.0000057656346915</v>
      </c>
      <c r="K141" s="427"/>
      <c r="L141" s="427"/>
      <c r="M141" s="696">
        <f>SUM(M61,M73,M85,M103+M109,M115:M119,M123:M128,M134,M135,M137,M136,M138,M139)</f>
        <v>118931.11929600392</v>
      </c>
      <c r="N141" s="541">
        <f>N128+N123+N119+N115+N109+N103+N85+N73+N61+N134+N135+N136+N137+N138+N139</f>
        <v>1.0000000000000002</v>
      </c>
      <c r="O141" s="666"/>
      <c r="P141" s="760">
        <f>SUM(P61+P73+P85+P104+P105+P110+P111+P116+P120+P124+P129+P133)</f>
        <v>118931.11929600392</v>
      </c>
      <c r="Q141" s="812"/>
      <c r="R141" s="760">
        <f>SUM(R61+R73+R85+R104+R105+R110+R111+R116+R120+R124+R129)</f>
        <v>86707.976500000004</v>
      </c>
      <c r="S141" s="799"/>
      <c r="T141" s="679"/>
      <c r="U141" s="624"/>
      <c r="V141" s="472"/>
      <c r="W141" s="775"/>
      <c r="X141" s="471"/>
      <c r="Y141" s="471"/>
      <c r="Z141" s="471"/>
      <c r="AA141" s="471"/>
      <c r="AB141" s="471"/>
      <c r="AC141" s="471"/>
      <c r="AD141" s="696">
        <f>AD128+AD123+AD119+AD115+AD109+AD103+AD85+AD73+AD61+AD133</f>
        <v>118929.92098359897</v>
      </c>
      <c r="AE141" s="846">
        <f t="shared" ref="AE141:AQ141" si="123">SUM(AE62:AE140)</f>
        <v>5679.1</v>
      </c>
      <c r="AF141" s="847">
        <f t="shared" si="123"/>
        <v>105253.43957362491</v>
      </c>
      <c r="AG141" s="847">
        <f t="shared" si="123"/>
        <v>7441.3556000000008</v>
      </c>
      <c r="AH141" s="847">
        <f t="shared" si="123"/>
        <v>0</v>
      </c>
      <c r="AI141" s="847">
        <f t="shared" si="123"/>
        <v>0</v>
      </c>
      <c r="AJ141" s="847">
        <f t="shared" si="123"/>
        <v>0</v>
      </c>
      <c r="AK141" s="847">
        <f t="shared" si="123"/>
        <v>404.44450997406625</v>
      </c>
      <c r="AL141" s="847">
        <f t="shared" si="123"/>
        <v>0</v>
      </c>
      <c r="AM141" s="847">
        <f t="shared" si="123"/>
        <v>0</v>
      </c>
      <c r="AN141" s="847">
        <f t="shared" si="123"/>
        <v>0</v>
      </c>
      <c r="AO141" s="847">
        <f t="shared" si="123"/>
        <v>0</v>
      </c>
      <c r="AP141" s="847">
        <f t="shared" si="123"/>
        <v>151.5813</v>
      </c>
      <c r="AQ141" s="848">
        <f t="shared" si="123"/>
        <v>0</v>
      </c>
      <c r="AR141" s="745"/>
      <c r="AT141" s="212"/>
      <c r="AU141" s="212"/>
      <c r="AV141" s="212"/>
      <c r="AW141" s="212"/>
      <c r="AX141" s="212"/>
      <c r="AY141" s="212"/>
      <c r="AZ141" s="212"/>
      <c r="BA141" s="212"/>
    </row>
    <row r="142" spans="3:53" ht="15.75" customHeight="1" thickBot="1" x14ac:dyDescent="0.3">
      <c r="C142" s="336"/>
      <c r="D142" s="704"/>
      <c r="E142" s="448"/>
      <c r="F142" s="4"/>
      <c r="G142" s="4"/>
      <c r="H142" s="829"/>
      <c r="I142" s="532"/>
      <c r="J142" s="417"/>
      <c r="K142" s="57"/>
      <c r="L142" s="57"/>
      <c r="M142" s="529"/>
      <c r="N142" s="448"/>
      <c r="O142" s="4"/>
      <c r="P142" s="532"/>
      <c r="Q142" s="417"/>
      <c r="R142" s="532"/>
      <c r="S142" s="417"/>
      <c r="T142" s="529"/>
      <c r="U142" s="4"/>
      <c r="V142" s="4"/>
      <c r="W142" s="532"/>
      <c r="X142" s="4"/>
      <c r="Y142" s="4"/>
      <c r="Z142" s="4"/>
      <c r="AA142" s="4"/>
      <c r="AB142" s="4"/>
      <c r="AC142" s="4"/>
      <c r="AD142" s="532"/>
      <c r="AE142" s="529"/>
      <c r="AF142" s="529"/>
      <c r="AG142" s="529"/>
      <c r="AH142" s="529"/>
      <c r="AI142" s="529"/>
      <c r="AJ142" s="529"/>
      <c r="AK142" s="529"/>
      <c r="AL142" s="529"/>
      <c r="AM142" s="529"/>
      <c r="AN142" s="529"/>
      <c r="AO142" s="529"/>
      <c r="AP142" s="529"/>
      <c r="AQ142" s="529"/>
      <c r="AR142" s="529"/>
      <c r="AT142" s="327"/>
      <c r="AU142" s="327"/>
      <c r="AV142" s="327"/>
      <c r="AW142" s="327"/>
      <c r="AX142" s="327"/>
      <c r="AY142" s="327"/>
      <c r="AZ142" s="212"/>
      <c r="BA142" s="212"/>
    </row>
    <row r="143" spans="3:53" ht="15.75" customHeight="1" thickBot="1" x14ac:dyDescent="0.3">
      <c r="C143" s="336"/>
      <c r="D143" s="1907" t="str">
        <f>$D$3</f>
        <v>Transport demand by mode of transport</v>
      </c>
      <c r="E143" s="1908"/>
      <c r="F143" s="1908"/>
      <c r="G143" s="1908"/>
      <c r="H143" s="1908"/>
      <c r="I143" s="1908"/>
      <c r="J143" s="1909"/>
      <c r="K143" s="1907" t="str">
        <f>$K$3</f>
        <v>Transport-energy demand by mode of tranport</v>
      </c>
      <c r="L143" s="1908"/>
      <c r="M143" s="1908"/>
      <c r="N143" s="1908"/>
      <c r="O143" s="1907" t="str">
        <f>$O$3</f>
        <v>Transport and transport-energy demand by fuel</v>
      </c>
      <c r="P143" s="1908"/>
      <c r="Q143" s="1908"/>
      <c r="R143" s="1908"/>
      <c r="S143" s="1909"/>
      <c r="U143" s="849" t="str">
        <f>$U$3</f>
        <v>Implementation of potential technologies</v>
      </c>
      <c r="V143" s="850"/>
      <c r="W143" s="850"/>
      <c r="X143" s="850"/>
      <c r="Y143" s="850"/>
      <c r="Z143" s="850"/>
      <c r="AA143" s="850"/>
      <c r="AB143" s="850"/>
      <c r="AC143" s="850"/>
      <c r="AD143" s="851"/>
      <c r="AE143" s="1901" t="str">
        <f>$AE$3</f>
        <v>Fuel consumpiton after the new technologies are implemented</v>
      </c>
      <c r="AF143" s="1902"/>
      <c r="AG143" s="1902"/>
      <c r="AH143" s="1902"/>
      <c r="AI143" s="1902"/>
      <c r="AJ143" s="1902"/>
      <c r="AK143" s="1902"/>
      <c r="AL143" s="1902"/>
      <c r="AM143" s="1902"/>
      <c r="AN143" s="1902"/>
      <c r="AO143" s="1902"/>
      <c r="AP143" s="1902"/>
      <c r="AQ143" s="1903"/>
      <c r="AR143" s="529"/>
      <c r="AT143" s="212"/>
      <c r="AU143" s="212"/>
      <c r="AV143" s="212"/>
      <c r="AW143" s="212"/>
      <c r="AX143" s="212"/>
      <c r="AY143" s="212"/>
      <c r="AZ143" s="327"/>
      <c r="BA143" s="327"/>
    </row>
    <row r="144" spans="3:53" ht="57" customHeight="1" thickBot="1" x14ac:dyDescent="0.3">
      <c r="C144" s="1925" t="str">
        <f>C4</f>
        <v>Passenger transport</v>
      </c>
      <c r="D144" s="1904" t="str">
        <f>$D$4</f>
        <v>Transport demand</v>
      </c>
      <c r="E144" s="1905"/>
      <c r="F144" s="326" t="str">
        <f>$F$4</f>
        <v>Capacity</v>
      </c>
      <c r="G144" s="1916" t="str">
        <f>$G$4</f>
        <v>Load factor</v>
      </c>
      <c r="H144" s="1916"/>
      <c r="I144" s="1916" t="str">
        <f>$I$4</f>
        <v>Traffic work</v>
      </c>
      <c r="J144" s="1916"/>
      <c r="K144" s="1928" t="s">
        <v>36</v>
      </c>
      <c r="L144" s="1927"/>
      <c r="M144" s="1916" t="str">
        <f>$M$4</f>
        <v>Energy demand</v>
      </c>
      <c r="N144" s="1920"/>
      <c r="O144" s="1904" t="str">
        <f>$O$4</f>
        <v>Total fuel consumption</v>
      </c>
      <c r="P144" s="1905"/>
      <c r="Q144" s="1905"/>
      <c r="R144" s="1905" t="str">
        <f>$R$4</f>
        <v>Transport demand</v>
      </c>
      <c r="S144" s="1906"/>
      <c r="T144" s="518" t="str">
        <f>$T$4</f>
        <v>No of vehicles</v>
      </c>
      <c r="U144" s="328" t="str">
        <f>$U$4</f>
        <v>Type of technology</v>
      </c>
      <c r="V144" s="927" t="str">
        <f>$V$4</f>
        <v>Share</v>
      </c>
      <c r="W144" s="712" t="str">
        <f>$W$4</f>
        <v>CO2-emissions</v>
      </c>
      <c r="X144" s="328" t="str">
        <f>$X$4</f>
        <v>Specific energy consumption to move the vehicle</v>
      </c>
      <c r="Y144" s="328" t="str">
        <f>$Y$4</f>
        <v>Engine efficiency</v>
      </c>
      <c r="Z144" s="1905" t="str">
        <f>$Z$4</f>
        <v xml:space="preserve">Specific energy consumption </v>
      </c>
      <c r="AA144" s="1905"/>
      <c r="AB144" s="1905"/>
      <c r="AC144" s="328" t="str">
        <f>$AC$4</f>
        <v>Utilization efficiency</v>
      </c>
      <c r="AD144" s="712" t="str">
        <f>$AD$4</f>
        <v>Energy demand</v>
      </c>
      <c r="AE144" s="711" t="str">
        <f>$AE$4</f>
        <v>Petrol</v>
      </c>
      <c r="AF144" s="712" t="str">
        <f>$AF$4</f>
        <v>Diesel</v>
      </c>
      <c r="AG144" s="712" t="str">
        <f>$AG$4</f>
        <v xml:space="preserve">Jet fuel </v>
      </c>
      <c r="AH144" s="712" t="str">
        <f>$AH$4</f>
        <v>Syn-methanol</v>
      </c>
      <c r="AI144" s="712" t="str">
        <f>$AI$4</f>
        <v>Bio-methanol</v>
      </c>
      <c r="AJ144" s="712" t="str">
        <f>$AJ$4</f>
        <v>Bioethanol</v>
      </c>
      <c r="AK144" s="712" t="str">
        <f>$AK$4</f>
        <v>Biodiesel</v>
      </c>
      <c r="AL144" s="712" t="str">
        <f>$AL$4</f>
        <v>Biogas</v>
      </c>
      <c r="AM144" s="712" t="str">
        <f>$AM$4</f>
        <v>Bio-jetfuel</v>
      </c>
      <c r="AN144" s="712" t="str">
        <f>$AN$4</f>
        <v>Electricity BEV</v>
      </c>
      <c r="AO144" s="712" t="str">
        <f>$AO$4</f>
        <v>Electricity Plug-in-hybrid</v>
      </c>
      <c r="AP144" s="712" t="str">
        <f>$AP$4</f>
        <v>Electricity Train / bus</v>
      </c>
      <c r="AQ144" s="656" t="str">
        <f>$AQ$4</f>
        <v>Syn-jetfuel</v>
      </c>
      <c r="AR144" s="518" t="str">
        <f>$AR$4</f>
        <v>No of vehicles</v>
      </c>
      <c r="AT144" s="212"/>
      <c r="AU144" s="212"/>
      <c r="AV144" s="212"/>
      <c r="AW144" s="212"/>
      <c r="AX144" s="212"/>
      <c r="AY144" s="212"/>
      <c r="AZ144" s="212"/>
      <c r="BA144" s="212"/>
    </row>
    <row r="145" spans="2:53" ht="16.5" customHeight="1" thickBot="1" x14ac:dyDescent="0.3">
      <c r="B145" s="1917">
        <v>2020</v>
      </c>
      <c r="C145" s="1926"/>
      <c r="D145" s="690" t="str">
        <f>D$5</f>
        <v>Mpkm</v>
      </c>
      <c r="E145" s="783" t="str">
        <f t="shared" ref="E145:AQ145" si="124">E$5</f>
        <v>%</v>
      </c>
      <c r="F145" s="348" t="str">
        <f t="shared" si="124"/>
        <v>p/vehicle</v>
      </c>
      <c r="G145" s="349" t="str">
        <f t="shared" si="124"/>
        <v>%</v>
      </c>
      <c r="H145" s="819" t="str">
        <f t="shared" si="124"/>
        <v>p/vehicle</v>
      </c>
      <c r="I145" s="746" t="str">
        <f t="shared" si="124"/>
        <v>Mkm</v>
      </c>
      <c r="J145" s="808" t="str">
        <f t="shared" si="124"/>
        <v>%</v>
      </c>
      <c r="K145" s="350" t="str">
        <f>K$5</f>
        <v>MJ/pkm</v>
      </c>
      <c r="L145" s="348" t="str">
        <f>L$5</f>
        <v>MJ/km</v>
      </c>
      <c r="M145" s="690" t="str">
        <f>M$5</f>
        <v>TJ</v>
      </c>
      <c r="N145" s="784" t="str">
        <f>N$5</f>
        <v>%</v>
      </c>
      <c r="O145" s="348" t="str">
        <f t="shared" si="124"/>
        <v>Fuel</v>
      </c>
      <c r="P145" s="746" t="str">
        <f t="shared" si="124"/>
        <v>TJ</v>
      </c>
      <c r="Q145" s="808" t="str">
        <f t="shared" si="124"/>
        <v>% TJ</v>
      </c>
      <c r="R145" s="746" t="str">
        <f t="shared" si="124"/>
        <v>Mpkm</v>
      </c>
      <c r="S145" s="794" t="str">
        <f t="shared" si="124"/>
        <v>%</v>
      </c>
      <c r="T145" s="519"/>
      <c r="U145" s="348"/>
      <c r="V145" s="350" t="str">
        <f t="shared" ref="V145" si="125">V$5</f>
        <v>% of traffic work</v>
      </c>
      <c r="W145" s="746" t="str">
        <f t="shared" si="124"/>
        <v>[g/km]</v>
      </c>
      <c r="X145" s="348" t="str">
        <f>X$5</f>
        <v>MJ_mech/km</v>
      </c>
      <c r="Y145" s="348" t="str">
        <f>Y$5</f>
        <v xml:space="preserve"> (MJ_mech/MJ)</v>
      </c>
      <c r="Z145" s="349" t="str">
        <f t="shared" si="124"/>
        <v>[km/Liter]</v>
      </c>
      <c r="AA145" s="349" t="str">
        <f t="shared" si="124"/>
        <v>[km/MJ]</v>
      </c>
      <c r="AB145" s="348" t="str">
        <f t="shared" si="124"/>
        <v>[MJ/km]</v>
      </c>
      <c r="AC145" s="349" t="str">
        <f t="shared" si="124"/>
        <v>MJ/pkm</v>
      </c>
      <c r="AD145" s="746" t="str">
        <f t="shared" si="124"/>
        <v>Total TJ</v>
      </c>
      <c r="AE145" s="713" t="str">
        <f t="shared" si="124"/>
        <v>TJ</v>
      </c>
      <c r="AF145" s="714" t="str">
        <f t="shared" si="124"/>
        <v>TJ</v>
      </c>
      <c r="AG145" s="714" t="str">
        <f t="shared" si="124"/>
        <v>TJ</v>
      </c>
      <c r="AH145" s="714" t="str">
        <f t="shared" si="124"/>
        <v>TJ</v>
      </c>
      <c r="AI145" s="714" t="str">
        <f t="shared" si="124"/>
        <v>TJ</v>
      </c>
      <c r="AJ145" s="714" t="str">
        <f t="shared" si="124"/>
        <v>TJ</v>
      </c>
      <c r="AK145" s="714" t="str">
        <f t="shared" si="124"/>
        <v>TJ</v>
      </c>
      <c r="AL145" s="714" t="str">
        <f t="shared" si="124"/>
        <v>TJ</v>
      </c>
      <c r="AM145" s="714" t="str">
        <f t="shared" si="124"/>
        <v>TJ</v>
      </c>
      <c r="AN145" s="714" t="str">
        <f t="shared" si="124"/>
        <v>TJ</v>
      </c>
      <c r="AO145" s="714" t="str">
        <f t="shared" si="124"/>
        <v>TJ</v>
      </c>
      <c r="AP145" s="714" t="str">
        <f t="shared" si="124"/>
        <v>TJ</v>
      </c>
      <c r="AQ145" s="715" t="str">
        <f t="shared" si="124"/>
        <v>TJ</v>
      </c>
      <c r="AR145" s="519"/>
      <c r="AT145" s="212"/>
      <c r="AU145" s="212"/>
      <c r="AV145" s="212"/>
      <c r="AW145" s="212"/>
      <c r="AX145" s="212"/>
      <c r="AY145" s="212"/>
      <c r="AZ145" s="212"/>
      <c r="BA145" s="212"/>
    </row>
    <row r="146" spans="2:53" ht="15.75" customHeight="1" thickBot="1" x14ac:dyDescent="0.3">
      <c r="B146" s="1918"/>
      <c r="C146" s="567" t="str">
        <f t="shared" ref="C146:C157" si="126">C6</f>
        <v>Cars and vans &lt; 2 t</v>
      </c>
      <c r="D146" s="529">
        <f>SUM(D147+D152+D157)</f>
        <v>64428.817973931888</v>
      </c>
      <c r="E146" s="545">
        <f t="shared" ref="E146:E157" si="127">D146/$D$196</f>
        <v>0.59345034062822333</v>
      </c>
      <c r="F146" s="354">
        <v>4</v>
      </c>
      <c r="G146" s="1336">
        <f>H146/F146</f>
        <v>0.374823490922637</v>
      </c>
      <c r="H146" s="1337">
        <f>((H147*I147)+(H152*I152)+(H157*I157))/(I147+I152+I157)</f>
        <v>1.499293963690548</v>
      </c>
      <c r="I146" s="757">
        <f>SUM(I147+I152+I157)</f>
        <v>42972.772207618851</v>
      </c>
      <c r="J146" s="795">
        <f>I146/I196</f>
        <v>0.9124942069286901</v>
      </c>
      <c r="K146" s="1338">
        <f>L146/H146</f>
        <v>1.5088375458419234</v>
      </c>
      <c r="L146" s="1324">
        <f>((L147*I147)+(L152*I152)+(L157*I157))/(I147+I152+I157)</f>
        <v>2.2621910246704564</v>
      </c>
      <c r="M146" s="529">
        <f>SUM(M147+M152+M157)</f>
        <v>97212.619593283409</v>
      </c>
      <c r="N146" s="353">
        <f t="shared" ref="N146:N157" si="128">M146/$M$196</f>
        <v>0.67242848342561456</v>
      </c>
      <c r="O146" s="682" t="s">
        <v>60</v>
      </c>
      <c r="P146" s="759">
        <f>SUM(P147:P150)</f>
        <v>97212.619593283394</v>
      </c>
      <c r="Q146" s="801">
        <f>SUM(Q147:Q150)</f>
        <v>1</v>
      </c>
      <c r="R146" s="759">
        <f>SUM(R147:R150)</f>
        <v>64428.817973931873</v>
      </c>
      <c r="S146" s="797">
        <f>SUM(S147:S150)</f>
        <v>0.99999999999999989</v>
      </c>
      <c r="T146" s="676">
        <f>T6*(I146/I6)/(1.01^10)</f>
        <v>2387916.5365056777</v>
      </c>
      <c r="U146" s="474" t="str">
        <f>U6</f>
        <v xml:space="preserve">Sum </v>
      </c>
      <c r="W146" s="694"/>
      <c r="X146" s="58"/>
      <c r="Y146" s="600"/>
      <c r="Z146" s="361"/>
      <c r="AA146" s="4"/>
      <c r="AB146" s="4"/>
      <c r="AC146" s="4"/>
      <c r="AD146" s="751">
        <f>SUM(AD147:AD163)</f>
        <v>97212.619593283394</v>
      </c>
      <c r="AE146" s="716"/>
      <c r="AF146" s="717"/>
      <c r="AG146" s="717"/>
      <c r="AH146" s="717"/>
      <c r="AI146" s="717"/>
      <c r="AJ146" s="718"/>
      <c r="AK146" s="718"/>
      <c r="AL146" s="718"/>
      <c r="AM146" s="718"/>
      <c r="AN146" s="718"/>
      <c r="AO146" s="718"/>
      <c r="AP146" s="717"/>
      <c r="AQ146" s="719"/>
      <c r="AR146" s="644">
        <f>SUM(AR147:AR163)</f>
        <v>2387916.5365056777</v>
      </c>
      <c r="AT146" s="212"/>
      <c r="AU146" s="212"/>
      <c r="AV146" s="212"/>
      <c r="AW146" s="212"/>
      <c r="AX146" s="212"/>
      <c r="AY146" s="212"/>
      <c r="AZ146" s="212"/>
      <c r="BA146" s="212"/>
    </row>
    <row r="147" spans="2:53" ht="15.75" customHeight="1" thickBot="1" x14ac:dyDescent="0.3">
      <c r="B147" s="1918"/>
      <c r="C147" s="568" t="str">
        <f t="shared" si="126"/>
        <v>Leisure</v>
      </c>
      <c r="D147" s="538">
        <f>SUM(D148:D151)</f>
        <v>35391.883182273297</v>
      </c>
      <c r="E147" s="448">
        <f t="shared" si="127"/>
        <v>0.32599271243021083</v>
      </c>
      <c r="F147" s="55">
        <v>4</v>
      </c>
      <c r="G147" s="381">
        <f>H147/F147</f>
        <v>0.46250000000000002</v>
      </c>
      <c r="H147" s="827">
        <f>((H148*I148)+(H149*I149)+(H150*I150)+(H151*I151))/(I148+I149+I150+I151)</f>
        <v>1.85</v>
      </c>
      <c r="I147" s="538">
        <f>SUM(I148:I151)</f>
        <v>19130.747666093674</v>
      </c>
      <c r="J147" s="661">
        <f>I147/I196</f>
        <v>0.40622690887114921</v>
      </c>
      <c r="K147" s="363">
        <f>L147/H147</f>
        <v>1.2391032978493433</v>
      </c>
      <c r="L147" s="363">
        <f>M147/I147</f>
        <v>2.2923411010212851</v>
      </c>
      <c r="M147" s="538">
        <f>SUM(M148:M151)</f>
        <v>43854.199168253552</v>
      </c>
      <c r="N147" s="365">
        <f t="shared" si="128"/>
        <v>0.30334346262788103</v>
      </c>
      <c r="O147" s="450" t="s">
        <v>3</v>
      </c>
      <c r="P147" s="532">
        <f>Q147*M146</f>
        <v>31333.609747831302</v>
      </c>
      <c r="Q147" s="358">
        <f>(Q7+Q10)*1.02^10-Q150</f>
        <v>0.32232039295848991</v>
      </c>
      <c r="R147" s="532">
        <f>S147*D146</f>
        <v>24635.275032804733</v>
      </c>
      <c r="S147" s="367">
        <f>(Q147*Z148)/(Q147*Z148+Q148*Z152+Q149*Z153+Q150*Z154)</f>
        <v>0.38236422469790221</v>
      </c>
      <c r="T147" s="677">
        <f>S147*T146</f>
        <v>913053.85512429336</v>
      </c>
      <c r="U147" s="475" t="str">
        <f>U7</f>
        <v>Battery electric vehicles</v>
      </c>
      <c r="V147" s="294">
        <f t="shared" ref="V147:V162" si="129">V7</f>
        <v>0</v>
      </c>
      <c r="W147" s="694"/>
      <c r="X147" s="602">
        <v>0.37919999999999998</v>
      </c>
      <c r="Y147" s="347">
        <f>$AV$24</f>
        <v>0.9</v>
      </c>
      <c r="Z147" s="61"/>
      <c r="AA147" s="61">
        <f>1/AB147</f>
        <v>2.3734177215189876</v>
      </c>
      <c r="AB147" s="61">
        <f>X147/Y147</f>
        <v>0.42133333333333328</v>
      </c>
      <c r="AC147" s="61">
        <f>AB147/H146</f>
        <v>0.28102116298541696</v>
      </c>
      <c r="AD147" s="694">
        <f t="shared" ref="AD147:AD152" si="130">V147*AB147*$I$146</f>
        <v>0</v>
      </c>
      <c r="AE147" s="720"/>
      <c r="AF147" s="721"/>
      <c r="AG147" s="721"/>
      <c r="AH147" s="721"/>
      <c r="AI147" s="721"/>
      <c r="AJ147" s="721"/>
      <c r="AK147" s="721"/>
      <c r="AL147" s="721"/>
      <c r="AM147" s="721"/>
      <c r="AN147" s="722">
        <f>AD147</f>
        <v>0</v>
      </c>
      <c r="AO147" s="721"/>
      <c r="AP147" s="721"/>
      <c r="AQ147" s="723"/>
      <c r="AR147" s="645">
        <f>V147*T146</f>
        <v>0</v>
      </c>
      <c r="AT147" s="212"/>
      <c r="AU147" s="212"/>
      <c r="AV147" s="212"/>
      <c r="AW147" s="212"/>
      <c r="AX147" s="212"/>
      <c r="AY147" s="212"/>
      <c r="AZ147" s="212"/>
      <c r="BA147" s="212"/>
    </row>
    <row r="148" spans="2:53" ht="15.75" customHeight="1" thickBot="1" x14ac:dyDescent="0.3">
      <c r="B148" s="1918"/>
      <c r="C148" s="569" t="str">
        <f t="shared" si="126"/>
        <v>&lt; 5km</v>
      </c>
      <c r="D148" s="691">
        <f>(D8*(1+'Growth, Modal Shift, InfraCosts'!C8)^'Growth, Modal Shift, InfraCosts'!$D$4)*(1-'Growth, Modal Shift, InfraCosts'!R6)</f>
        <v>1484.6685622835198</v>
      </c>
      <c r="E148" s="547">
        <f t="shared" si="127"/>
        <v>1.3675201434917773E-2</v>
      </c>
      <c r="F148" s="371">
        <v>4</v>
      </c>
      <c r="G148" s="373">
        <f>H148/F148</f>
        <v>0.46250000000000002</v>
      </c>
      <c r="H148" s="822">
        <v>1.85</v>
      </c>
      <c r="I148" s="691">
        <f t="shared" ref="I148:I157" si="131">D148/H148</f>
        <v>802.52354718028096</v>
      </c>
      <c r="J148" s="436">
        <f t="shared" ref="J148:J157" si="132">I148/$I$196</f>
        <v>1.7040978510481971E-2</v>
      </c>
      <c r="K148" s="422">
        <f>(L148/H148)</f>
        <v>1.6347923700850124</v>
      </c>
      <c r="L148" s="370">
        <f>L8*$AV$9</f>
        <v>3.0243658846572732</v>
      </c>
      <c r="M148" s="691">
        <f>D148*K148</f>
        <v>2427.1248377261832</v>
      </c>
      <c r="N148" s="372">
        <f t="shared" si="128"/>
        <v>1.6788642056402528E-2</v>
      </c>
      <c r="O148" s="58" t="s">
        <v>41</v>
      </c>
      <c r="P148" s="694">
        <f>Q148*M146</f>
        <v>60289.2842188383</v>
      </c>
      <c r="Q148" s="358">
        <f>1-Q147-Q150-Q149</f>
        <v>0.62017960704150998</v>
      </c>
      <c r="R148" s="694">
        <f>S148*D146</f>
        <v>36764.270665055366</v>
      </c>
      <c r="S148" s="367">
        <f>(Q148*Z152)/(Q147*Z148+Q148*Z152+Q149*Z153+Q150*Z154)</f>
        <v>0.57061842543705077</v>
      </c>
      <c r="T148" s="677">
        <f>S148*T146</f>
        <v>1362589.1741359655</v>
      </c>
      <c r="U148" s="475" t="str">
        <f>U8</f>
        <v>ICE Diesel</v>
      </c>
      <c r="V148" s="375">
        <f>V8</f>
        <v>0</v>
      </c>
      <c r="W148" s="694">
        <f>AB148*74</f>
        <v>117.86938782608695</v>
      </c>
      <c r="X148" s="604">
        <v>0.36391478260869564</v>
      </c>
      <c r="Y148" s="347">
        <f>X148/AB148</f>
        <v>0.22847063524905639</v>
      </c>
      <c r="Z148" s="61">
        <f>1/((AB148/42700)/0.84*1000)</f>
        <v>22.51841677430485</v>
      </c>
      <c r="AA148" s="61">
        <f>1/AB148</f>
        <v>0.62781356011778877</v>
      </c>
      <c r="AB148" s="601">
        <f>(AB8+AB288)/2</f>
        <v>1.5928295652173912</v>
      </c>
      <c r="AC148" s="61">
        <f>AB148/$H$146</f>
        <v>1.0623864324088941</v>
      </c>
      <c r="AD148" s="694">
        <f t="shared" si="130"/>
        <v>0</v>
      </c>
      <c r="AE148" s="725"/>
      <c r="AF148" s="722">
        <f>AD148</f>
        <v>0</v>
      </c>
      <c r="AG148" s="721"/>
      <c r="AH148" s="721"/>
      <c r="AI148" s="721"/>
      <c r="AJ148" s="721"/>
      <c r="AK148" s="721"/>
      <c r="AL148" s="721"/>
      <c r="AM148" s="721"/>
      <c r="AN148" s="721"/>
      <c r="AO148" s="721"/>
      <c r="AP148" s="721"/>
      <c r="AQ148" s="723"/>
      <c r="AR148" s="645">
        <f>V148*T146</f>
        <v>0</v>
      </c>
      <c r="AT148" s="212"/>
      <c r="AU148" s="212"/>
      <c r="AV148" s="212"/>
      <c r="AW148" s="212"/>
      <c r="AX148" s="212"/>
      <c r="AY148" s="212"/>
      <c r="AZ148" s="212"/>
      <c r="BA148" s="212"/>
    </row>
    <row r="149" spans="2:53" ht="15.75" customHeight="1" thickBot="1" x14ac:dyDescent="0.3">
      <c r="B149" s="1919"/>
      <c r="C149" s="569" t="str">
        <f t="shared" si="126"/>
        <v>5-25 km</v>
      </c>
      <c r="D149" s="691">
        <f>(D9*(1+'Growth, Modal Shift, InfraCosts'!C9)^'Growth, Modal Shift, InfraCosts'!$D$4)*(1-'Growth, Modal Shift, InfraCosts'!R6)</f>
        <v>9039.2873307872396</v>
      </c>
      <c r="E149" s="547">
        <f t="shared" si="127"/>
        <v>8.3260384315330949E-2</v>
      </c>
      <c r="F149" s="371">
        <v>4</v>
      </c>
      <c r="G149" s="373">
        <f t="shared" ref="G149:G157" si="133">H149/F149</f>
        <v>0.46250000000000002</v>
      </c>
      <c r="H149" s="823">
        <v>1.85</v>
      </c>
      <c r="I149" s="691">
        <f t="shared" si="131"/>
        <v>4886.1012598849939</v>
      </c>
      <c r="J149" s="436">
        <f t="shared" si="132"/>
        <v>0.10375265232066073</v>
      </c>
      <c r="K149" s="422">
        <f>(L149/H149)</f>
        <v>1.6347923700850124</v>
      </c>
      <c r="L149" s="376">
        <f>L9*$AV$9</f>
        <v>3.0243658846572732</v>
      </c>
      <c r="M149" s="691">
        <f>D149*K149</f>
        <v>14777.357959377097</v>
      </c>
      <c r="N149" s="372">
        <f t="shared" si="128"/>
        <v>0.10221632174129706</v>
      </c>
      <c r="O149" s="916" t="s">
        <v>43</v>
      </c>
      <c r="P149" s="912">
        <f>Q149*M146</f>
        <v>2794.8628133068983</v>
      </c>
      <c r="Q149" s="913">
        <f>5.75%/2</f>
        <v>2.8750000000000001E-2</v>
      </c>
      <c r="R149" s="912">
        <f>S149*D146</f>
        <v>1094.3325094998959</v>
      </c>
      <c r="S149" s="914">
        <f>Q149*Z153/(Q147*Z148+Q148*Z152+Q149*Z153+Q150*Z154)</f>
        <v>1.6985140251101091E-2</v>
      </c>
      <c r="T149" s="677">
        <f>S149*T146</f>
        <v>40559.097280472495</v>
      </c>
      <c r="U149" s="475" t="str">
        <f>U9</f>
        <v>ICE hybrid vehicle Diesel</v>
      </c>
      <c r="V149" s="375">
        <f t="shared" si="129"/>
        <v>0</v>
      </c>
      <c r="W149" s="694">
        <f>AB149*74</f>
        <v>80.75889341614905</v>
      </c>
      <c r="X149" s="61">
        <f>X156</f>
        <v>0.36391478260869564</v>
      </c>
      <c r="Y149" s="347">
        <f>X149/AB149</f>
        <v>0.33345793601053042</v>
      </c>
      <c r="Z149" s="61">
        <f>1/((AB149/42700)/0.84*1000)</f>
        <v>32.866126413134374</v>
      </c>
      <c r="AA149" s="601">
        <f>AA155</f>
        <v>0.91630775100742656</v>
      </c>
      <c r="AB149" s="61">
        <f>1/AA149</f>
        <v>1.0913363975155277</v>
      </c>
      <c r="AC149" s="61">
        <f>AB149/$H$146</f>
        <v>0.72790021433100216</v>
      </c>
      <c r="AD149" s="694">
        <f t="shared" si="130"/>
        <v>0</v>
      </c>
      <c r="AE149" s="720"/>
      <c r="AF149" s="722">
        <f>AD149</f>
        <v>0</v>
      </c>
      <c r="AG149" s="721"/>
      <c r="AH149" s="721"/>
      <c r="AI149" s="721"/>
      <c r="AJ149" s="721"/>
      <c r="AK149" s="721"/>
      <c r="AL149" s="721"/>
      <c r="AM149" s="721"/>
      <c r="AN149" s="721"/>
      <c r="AO149" s="721"/>
      <c r="AP149" s="721"/>
      <c r="AQ149" s="723"/>
      <c r="AR149" s="645">
        <f>V149*T146</f>
        <v>0</v>
      </c>
      <c r="AT149" s="212"/>
      <c r="AU149" s="212"/>
      <c r="AV149" s="212"/>
      <c r="AW149" s="212"/>
      <c r="AX149" s="212"/>
      <c r="AY149" s="212"/>
      <c r="AZ149" s="212"/>
      <c r="BA149" s="212"/>
    </row>
    <row r="150" spans="2:53" ht="15.75" customHeight="1" x14ac:dyDescent="0.25">
      <c r="C150" s="569" t="str">
        <f t="shared" si="126"/>
        <v>25-50km</v>
      </c>
      <c r="D150" s="691">
        <f>(D10*(1+'Growth, Modal Shift, InfraCosts'!C10)^'Growth, Modal Shift, InfraCosts'!$D$4)*(1-'Growth, Modal Shift, InfraCosts'!R7)</f>
        <v>7735.2544466706631</v>
      </c>
      <c r="E150" s="547">
        <f t="shared" si="127"/>
        <v>7.1249008294394151E-2</v>
      </c>
      <c r="F150" s="371">
        <v>4</v>
      </c>
      <c r="G150" s="373">
        <f t="shared" si="133"/>
        <v>0.46250000000000002</v>
      </c>
      <c r="H150" s="823">
        <v>1.85</v>
      </c>
      <c r="I150" s="691">
        <f t="shared" si="131"/>
        <v>4181.2186198219797</v>
      </c>
      <c r="J150" s="436">
        <f t="shared" si="132"/>
        <v>8.8785004375712351E-2</v>
      </c>
      <c r="K150" s="422">
        <f>(L150/H150)</f>
        <v>1.6347923700850124</v>
      </c>
      <c r="L150" s="376">
        <f>L10*$AV$9</f>
        <v>3.0243658846572732</v>
      </c>
      <c r="M150" s="691">
        <f>D150*K150</f>
        <v>12645.534950083365</v>
      </c>
      <c r="N150" s="372">
        <f t="shared" si="128"/>
        <v>8.747030914469528E-2</v>
      </c>
      <c r="O150" s="917" t="s">
        <v>74</v>
      </c>
      <c r="P150" s="912">
        <f>Q150*M146</f>
        <v>2794.8628133068983</v>
      </c>
      <c r="Q150" s="913">
        <f>5.75%/2</f>
        <v>2.8750000000000001E-2</v>
      </c>
      <c r="R150" s="912">
        <f>S150*D146</f>
        <v>1934.9397665718798</v>
      </c>
      <c r="S150" s="914">
        <f>Q150*Z154/(Q147*Z148+Q148*Z152+Q149*Z153+Q150*Z154)</f>
        <v>3.0032209613945777E-2</v>
      </c>
      <c r="T150" s="677">
        <f>S150*T146</f>
        <v>71714.409964945909</v>
      </c>
      <c r="U150" s="475" t="str">
        <f>U10</f>
        <v>ICE Plug-in hybrid vehicle Diesel</v>
      </c>
      <c r="V150" s="375">
        <f t="shared" si="129"/>
        <v>0</v>
      </c>
      <c r="W150" s="694">
        <f>AB150*74</f>
        <v>37.170039907582442</v>
      </c>
      <c r="X150" s="61">
        <f>X148</f>
        <v>0.36391478260869564</v>
      </c>
      <c r="Y150" s="347">
        <f>$Y$156</f>
        <v>0.72450000000000003</v>
      </c>
      <c r="Z150" s="61">
        <f>1/((AB150/42700)/0.84*1000)</f>
        <v>71.407832937476996</v>
      </c>
      <c r="AA150" s="61">
        <f>1/AB150</f>
        <v>1.990850700832971</v>
      </c>
      <c r="AB150" s="61">
        <f>X150/Y150</f>
        <v>0.50229783658895188</v>
      </c>
      <c r="AC150" s="61">
        <f>AB150/$H$146</f>
        <v>0.33502291662172357</v>
      </c>
      <c r="AD150" s="694">
        <f t="shared" si="130"/>
        <v>0</v>
      </c>
      <c r="AE150" s="720"/>
      <c r="AF150" s="722">
        <f>AD150*$AW$17</f>
        <v>0</v>
      </c>
      <c r="AG150" s="721"/>
      <c r="AH150" s="721"/>
      <c r="AI150" s="721"/>
      <c r="AJ150" s="721"/>
      <c r="AK150" s="721"/>
      <c r="AL150" s="721"/>
      <c r="AM150" s="721"/>
      <c r="AN150" s="721"/>
      <c r="AO150" s="722">
        <f>AD150*$AX$17</f>
        <v>0</v>
      </c>
      <c r="AP150" s="721"/>
      <c r="AQ150" s="723"/>
      <c r="AR150" s="645">
        <f>V150*T146</f>
        <v>0</v>
      </c>
      <c r="AT150" s="212"/>
      <c r="AU150" s="212"/>
      <c r="AV150" s="212"/>
      <c r="AW150" s="212"/>
      <c r="AX150" s="212"/>
      <c r="AY150" s="212"/>
      <c r="AZ150" s="212"/>
      <c r="BA150" s="212"/>
    </row>
    <row r="151" spans="2:53" ht="15.75" customHeight="1" thickBot="1" x14ac:dyDescent="0.3">
      <c r="C151" s="569" t="str">
        <f t="shared" si="126"/>
        <v>&gt;50 km</v>
      </c>
      <c r="D151" s="691">
        <f>(D11*(1+'Growth, Modal Shift, InfraCosts'!C11)^'Growth, Modal Shift, InfraCosts'!$D$4)
-(D11*(1+'Growth, Modal Shift, InfraCosts'!C11)^'Growth, Modal Shift, InfraCosts'!$D$4)*'Growth, Modal Shift, InfraCosts'!R8
-(D11*(1+'Growth, Modal Shift, InfraCosts'!C11)^'Growth, Modal Shift, InfraCosts'!$D$4)*'Growth, Modal Shift, InfraCosts'!R7-(D11*(1+'Growth, Modal Shift, InfraCosts'!C11)^'Growth, Modal Shift, InfraCosts'!$D$4)*'Growth, Modal Shift, InfraCosts'!R9</f>
        <v>17132.672842531876</v>
      </c>
      <c r="E151" s="547">
        <f t="shared" si="127"/>
        <v>0.15780811838556796</v>
      </c>
      <c r="F151" s="371">
        <v>4</v>
      </c>
      <c r="G151" s="373">
        <f t="shared" si="133"/>
        <v>0.46250000000000002</v>
      </c>
      <c r="H151" s="824">
        <v>1.85</v>
      </c>
      <c r="I151" s="691">
        <f t="shared" si="131"/>
        <v>9260.9042392064184</v>
      </c>
      <c r="J151" s="436">
        <f t="shared" si="132"/>
        <v>0.19664827366429413</v>
      </c>
      <c r="K151" s="422">
        <f>(L151/H151)</f>
        <v>0.81739618504250622</v>
      </c>
      <c r="L151" s="378">
        <f>L11*$AV$9</f>
        <v>1.5121829423286366</v>
      </c>
      <c r="M151" s="691">
        <f>D151*K151</f>
        <v>14004.181421066907</v>
      </c>
      <c r="N151" s="372">
        <f t="shared" si="128"/>
        <v>9.6868189685486189E-2</v>
      </c>
      <c r="T151" s="756"/>
      <c r="U151" s="475" t="s">
        <v>483</v>
      </c>
      <c r="V151" s="375">
        <f t="shared" si="129"/>
        <v>0</v>
      </c>
      <c r="W151" s="694"/>
      <c r="X151" s="61">
        <f t="shared" ref="X151:AC151" si="134">X148</f>
        <v>0.36391478260869564</v>
      </c>
      <c r="Y151" s="362">
        <f t="shared" si="134"/>
        <v>0.22847063524905639</v>
      </c>
      <c r="Z151" s="61">
        <f t="shared" si="134"/>
        <v>22.51841677430485</v>
      </c>
      <c r="AA151" s="61">
        <f t="shared" si="134"/>
        <v>0.62781356011778877</v>
      </c>
      <c r="AB151" s="61">
        <f t="shared" si="134"/>
        <v>1.5928295652173912</v>
      </c>
      <c r="AC151" s="61">
        <f t="shared" si="134"/>
        <v>1.0623864324088941</v>
      </c>
      <c r="AD151" s="694">
        <f t="shared" si="130"/>
        <v>0</v>
      </c>
      <c r="AE151" s="725"/>
      <c r="AF151" s="727"/>
      <c r="AG151" s="721"/>
      <c r="AH151" s="721"/>
      <c r="AI151" s="721"/>
      <c r="AJ151" s="721"/>
      <c r="AK151" s="738">
        <f>AD151</f>
        <v>0</v>
      </c>
      <c r="AL151" s="721"/>
      <c r="AM151" s="721"/>
      <c r="AN151" s="721"/>
      <c r="AO151" s="721"/>
      <c r="AP151" s="721"/>
      <c r="AQ151" s="723"/>
      <c r="AR151" s="645">
        <f>V151*T146</f>
        <v>0</v>
      </c>
      <c r="AT151" s="212"/>
      <c r="AU151" s="212"/>
      <c r="AV151" s="212"/>
      <c r="AW151" s="212"/>
      <c r="AX151" s="212"/>
      <c r="AY151" s="212"/>
      <c r="AZ151" s="212"/>
      <c r="BA151" s="212"/>
    </row>
    <row r="152" spans="2:53" ht="15.75" customHeight="1" thickBot="1" x14ac:dyDescent="0.3">
      <c r="C152" s="568" t="str">
        <f t="shared" si="126"/>
        <v>Work</v>
      </c>
      <c r="D152" s="538">
        <f>SUM(D153:D156)</f>
        <v>26461.960307536599</v>
      </c>
      <c r="E152" s="448">
        <f t="shared" si="127"/>
        <v>0.24373967817556352</v>
      </c>
      <c r="F152" s="55">
        <v>4</v>
      </c>
      <c r="G152" s="58">
        <f t="shared" si="133"/>
        <v>0.28999999999999998</v>
      </c>
      <c r="H152" s="827">
        <f>((H153*I153)+(H154*I154)+(H155*I155)+(H156*I156))/(I153+I154+I155+I156)</f>
        <v>1.1599999999999999</v>
      </c>
      <c r="I152" s="694">
        <f t="shared" si="131"/>
        <v>22812.03474787638</v>
      </c>
      <c r="J152" s="417">
        <f t="shared" si="132"/>
        <v>0.48439624642141738</v>
      </c>
      <c r="K152" s="557">
        <f>((K153*D153)+(K154*D154)+(K155*D155)+(K156*D156))/(D153+D154+D155+D156)</f>
        <v>1.9575604689252071</v>
      </c>
      <c r="L152" s="61">
        <f>M152/I152</f>
        <v>2.2707701439532402</v>
      </c>
      <c r="M152" s="538">
        <f>SUM(M153:M156)</f>
        <v>51800.887428301561</v>
      </c>
      <c r="N152" s="365">
        <f t="shared" si="128"/>
        <v>0.35831142416740752</v>
      </c>
      <c r="T152" s="756"/>
      <c r="U152" s="475" t="str">
        <f>U12</f>
        <v>ICE Petrol</v>
      </c>
      <c r="V152" s="375">
        <f t="shared" si="129"/>
        <v>0</v>
      </c>
      <c r="W152" s="694">
        <f>AB152*73</f>
        <v>137.30347826086958</v>
      </c>
      <c r="X152" s="602">
        <v>0.3576086956521739</v>
      </c>
      <c r="Y152" s="362">
        <f>X152/AB152</f>
        <v>0.19012944983818769</v>
      </c>
      <c r="Z152" s="61">
        <f>1/((AB152/43800)/0.75*1000)</f>
        <v>17.465325936199722</v>
      </c>
      <c r="AA152" s="61">
        <f>1/AB152</f>
        <v>0.53166897827091997</v>
      </c>
      <c r="AB152" s="602">
        <f>(AB12+AB292)/2</f>
        <v>1.8808695652173915</v>
      </c>
      <c r="AC152" s="61">
        <f>AB152/$H$146</f>
        <v>1.2545035268384499</v>
      </c>
      <c r="AD152" s="694">
        <f t="shared" si="130"/>
        <v>0</v>
      </c>
      <c r="AE152" s="726">
        <f>AD152</f>
        <v>0</v>
      </c>
      <c r="AF152" s="727"/>
      <c r="AG152" s="721"/>
      <c r="AH152" s="721"/>
      <c r="AI152" s="721"/>
      <c r="AJ152" s="721"/>
      <c r="AK152" s="721"/>
      <c r="AL152" s="721"/>
      <c r="AM152" s="721"/>
      <c r="AN152" s="721"/>
      <c r="AO152" s="721"/>
      <c r="AP152" s="721"/>
      <c r="AQ152" s="723"/>
      <c r="AR152" s="645">
        <f>V152*T146</f>
        <v>0</v>
      </c>
      <c r="AT152" s="212"/>
      <c r="AU152" s="212"/>
      <c r="AV152" s="212"/>
      <c r="AW152" s="212"/>
      <c r="AX152" s="212"/>
      <c r="AY152" s="212"/>
      <c r="AZ152" s="212"/>
      <c r="BA152" s="212"/>
    </row>
    <row r="153" spans="2:53" ht="15.75" customHeight="1" x14ac:dyDescent="0.25">
      <c r="C153" s="569" t="str">
        <f t="shared" si="126"/>
        <v>&lt; 5km</v>
      </c>
      <c r="D153" s="691">
        <f>(D13*(1+'Growth, Modal Shift, InfraCosts'!C13)^'Growth, Modal Shift, InfraCosts'!$D$4)*(1-'Growth, Modal Shift, InfraCosts'!R10)</f>
        <v>362.94021837314165</v>
      </c>
      <c r="E153" s="547">
        <f t="shared" si="127"/>
        <v>3.3430226255022864E-3</v>
      </c>
      <c r="F153" s="371">
        <v>4</v>
      </c>
      <c r="G153" s="373">
        <f t="shared" si="133"/>
        <v>0.28999999999999998</v>
      </c>
      <c r="H153" s="822">
        <v>1.1599999999999999</v>
      </c>
      <c r="I153" s="691">
        <f t="shared" si="131"/>
        <v>312.87949859753593</v>
      </c>
      <c r="J153" s="436">
        <f t="shared" si="132"/>
        <v>6.6437587167435972E-3</v>
      </c>
      <c r="K153" s="422">
        <f>(L153/H153)</f>
        <v>2.6072119695321323</v>
      </c>
      <c r="L153" s="370">
        <f>L13*$AV$9</f>
        <v>3.0243658846572732</v>
      </c>
      <c r="M153" s="691">
        <f>D153*K153</f>
        <v>946.26208156706082</v>
      </c>
      <c r="N153" s="372">
        <f t="shared" si="128"/>
        <v>6.5453804155614637E-3</v>
      </c>
      <c r="T153" s="756"/>
      <c r="U153" s="475" t="str">
        <f>U13</f>
        <v>ICE Bioethanol</v>
      </c>
      <c r="V153" s="375">
        <f t="shared" si="129"/>
        <v>0</v>
      </c>
      <c r="W153" s="694"/>
      <c r="X153" s="603">
        <v>0.3576086956521739</v>
      </c>
      <c r="Y153" s="347">
        <f>X153/AB153</f>
        <v>0.19012944983818769</v>
      </c>
      <c r="Z153" s="61">
        <f>1/((AB153/26700)/0.79*1000)</f>
        <v>11.214493758668516</v>
      </c>
      <c r="AA153" s="61">
        <f>1/AB153</f>
        <v>0.53166897827091997</v>
      </c>
      <c r="AB153" s="603">
        <f>(AB13+AB293)/2</f>
        <v>1.8808695652173915</v>
      </c>
      <c r="AC153" s="61">
        <f t="shared" ref="AC153:AC156" si="135">AB153/$H$146</f>
        <v>1.2545035268384499</v>
      </c>
      <c r="AD153" s="694">
        <f t="shared" ref="AD153:AD163" si="136">V153*AB153*$I$146</f>
        <v>0</v>
      </c>
      <c r="AE153" s="720"/>
      <c r="AF153" s="721"/>
      <c r="AG153" s="721"/>
      <c r="AH153" s="721"/>
      <c r="AI153" s="721"/>
      <c r="AJ153" s="722">
        <f>AD153</f>
        <v>0</v>
      </c>
      <c r="AK153" s="741"/>
      <c r="AL153" s="721"/>
      <c r="AM153" s="721"/>
      <c r="AN153" s="721"/>
      <c r="AO153" s="721"/>
      <c r="AP153" s="721"/>
      <c r="AQ153" s="723"/>
      <c r="AR153" s="645">
        <f>V153*T146</f>
        <v>0</v>
      </c>
      <c r="AT153" s="212"/>
      <c r="AU153" s="212"/>
      <c r="AV153" s="1964"/>
      <c r="AW153" s="1964"/>
      <c r="AX153" s="1964"/>
      <c r="AY153" s="1964"/>
      <c r="AZ153" s="212"/>
      <c r="BA153" s="212"/>
    </row>
    <row r="154" spans="2:53" ht="15.75" customHeight="1" thickBot="1" x14ac:dyDescent="0.3">
      <c r="C154" s="569" t="str">
        <f t="shared" si="126"/>
        <v>5-25 km</v>
      </c>
      <c r="D154" s="691">
        <f>(D14*(1+'Growth, Modal Shift, InfraCosts'!C14)^'Growth, Modal Shift, InfraCosts'!$D$4)*(1-'Growth, Modal Shift, InfraCosts'!R10)</f>
        <v>5418.6743430996439</v>
      </c>
      <c r="E154" s="547">
        <f t="shared" si="127"/>
        <v>4.9911114867371716E-2</v>
      </c>
      <c r="F154" s="371">
        <v>4</v>
      </c>
      <c r="G154" s="373">
        <f t="shared" si="133"/>
        <v>0.28999999999999998</v>
      </c>
      <c r="H154" s="823">
        <v>1.1599999999999999</v>
      </c>
      <c r="I154" s="691">
        <f t="shared" si="131"/>
        <v>4671.2709854307277</v>
      </c>
      <c r="J154" s="436">
        <f t="shared" si="132"/>
        <v>9.9190894471636898E-2</v>
      </c>
      <c r="K154" s="422">
        <f>(L154/H154)</f>
        <v>2.6072119695321323</v>
      </c>
      <c r="L154" s="376">
        <f>L14*$AV$9</f>
        <v>3.0243658846572732</v>
      </c>
      <c r="M154" s="691">
        <f>D154*K154</f>
        <v>14127.632606326057</v>
      </c>
      <c r="N154" s="372">
        <f t="shared" si="128"/>
        <v>9.7722112701121494E-2</v>
      </c>
      <c r="T154" s="756"/>
      <c r="U154" s="475" t="str">
        <f>U14</f>
        <v>ICE Bio-methanol</v>
      </c>
      <c r="V154" s="375">
        <f t="shared" si="129"/>
        <v>0</v>
      </c>
      <c r="W154" s="694"/>
      <c r="X154" s="604">
        <v>0.36391478260869564</v>
      </c>
      <c r="Y154" s="347">
        <f>X154/AB154</f>
        <v>0.22847063524905639</v>
      </c>
      <c r="Z154" s="61">
        <f>1/((AB154/37600)/0.84*1000)</f>
        <v>19.828863482760241</v>
      </c>
      <c r="AA154" s="61">
        <f>AA148</f>
        <v>0.62781356011778877</v>
      </c>
      <c r="AB154" s="604">
        <f>(AB14+AB294)/2</f>
        <v>1.5928295652173912</v>
      </c>
      <c r="AC154" s="61">
        <f>AB154/$H$146</f>
        <v>1.0623864324088941</v>
      </c>
      <c r="AD154" s="694">
        <f>V154*AB154*$I$146</f>
        <v>0</v>
      </c>
      <c r="AE154" s="720"/>
      <c r="AF154" s="721"/>
      <c r="AG154" s="721"/>
      <c r="AI154" s="722">
        <f>+AD154</f>
        <v>0</v>
      </c>
      <c r="AJ154" s="721"/>
      <c r="AK154" s="721"/>
      <c r="AL154" s="721"/>
      <c r="AM154" s="721"/>
      <c r="AN154" s="721"/>
      <c r="AO154" s="721"/>
      <c r="AP154" s="721"/>
      <c r="AQ154" s="723"/>
      <c r="AR154" s="645">
        <f>V154*T146</f>
        <v>0</v>
      </c>
      <c r="AT154" s="212"/>
      <c r="AU154" s="212"/>
      <c r="AV154" s="212"/>
      <c r="AW154" s="212"/>
      <c r="AX154" s="212"/>
      <c r="AY154" s="212"/>
      <c r="AZ154" s="212"/>
      <c r="BA154" s="212"/>
    </row>
    <row r="155" spans="2:53" ht="15.75" customHeight="1" thickBot="1" x14ac:dyDescent="0.3">
      <c r="C155" s="569" t="str">
        <f t="shared" si="126"/>
        <v>25-50km</v>
      </c>
      <c r="D155" s="691">
        <f>(D15*(1+'Growth, Modal Shift, InfraCosts'!C15)^'Growth, Modal Shift, InfraCosts'!$D$4)*(1-'Growth, Modal Shift, InfraCosts'!R11)</f>
        <v>7493.0388268822462</v>
      </c>
      <c r="E155" s="547">
        <f t="shared" si="127"/>
        <v>6.9017973385029976E-2</v>
      </c>
      <c r="F155" s="371">
        <v>4</v>
      </c>
      <c r="G155" s="373">
        <f t="shared" si="133"/>
        <v>0.28999999999999998</v>
      </c>
      <c r="H155" s="823">
        <v>1.1599999999999999</v>
      </c>
      <c r="I155" s="691">
        <f t="shared" si="131"/>
        <v>6459.5162300709026</v>
      </c>
      <c r="J155" s="436">
        <f t="shared" si="132"/>
        <v>0.13716292518955819</v>
      </c>
      <c r="K155" s="422">
        <f>(L155/H155)</f>
        <v>2.6072119695321323</v>
      </c>
      <c r="L155" s="376">
        <f>L15*$AV$9</f>
        <v>3.0243658846572732</v>
      </c>
      <c r="M155" s="691">
        <f>D155*K155</f>
        <v>19535.9405176164</v>
      </c>
      <c r="N155" s="372">
        <f t="shared" si="128"/>
        <v>0.13513186775044417</v>
      </c>
      <c r="O155" s="373"/>
      <c r="P155" s="691"/>
      <c r="Q155" s="436"/>
      <c r="S155" s="374"/>
      <c r="T155" s="525"/>
      <c r="U155" s="475" t="str">
        <f>U15</f>
        <v>ICE hybrid vehicle Bio-methanol</v>
      </c>
      <c r="V155" s="375">
        <f t="shared" si="129"/>
        <v>0</v>
      </c>
      <c r="W155" s="694"/>
      <c r="X155" s="61">
        <f>X149</f>
        <v>0.36391478260869564</v>
      </c>
      <c r="Y155" s="347">
        <f>X155/AB155</f>
        <v>0.33345793601053042</v>
      </c>
      <c r="Z155" s="61">
        <f>1/((AB155/37600)/0.84*1000)</f>
        <v>28.940664007818558</v>
      </c>
      <c r="AA155" s="601">
        <f>AA15*AA156/AA16</f>
        <v>0.91630775100742656</v>
      </c>
      <c r="AB155" s="61">
        <f>1/AA155</f>
        <v>1.0913363975155277</v>
      </c>
      <c r="AC155" s="61">
        <f t="shared" si="135"/>
        <v>0.72790021433100216</v>
      </c>
      <c r="AD155" s="694">
        <f t="shared" si="136"/>
        <v>0</v>
      </c>
      <c r="AE155" s="720"/>
      <c r="AF155" s="721"/>
      <c r="AG155" s="721"/>
      <c r="AH155" s="721"/>
      <c r="AI155" s="722">
        <f>AD155</f>
        <v>0</v>
      </c>
      <c r="AJ155" s="721"/>
      <c r="AK155" s="721"/>
      <c r="AL155" s="721"/>
      <c r="AM155" s="721"/>
      <c r="AN155" s="721"/>
      <c r="AO155" s="721"/>
      <c r="AP155" s="721"/>
      <c r="AQ155" s="723"/>
      <c r="AR155" s="645">
        <f>V155*T146</f>
        <v>0</v>
      </c>
      <c r="AT155" s="212"/>
      <c r="AU155" s="212"/>
      <c r="AV155" s="212"/>
      <c r="AW155" s="212"/>
      <c r="AX155" s="212"/>
      <c r="AY155" s="212"/>
      <c r="AZ155" s="212"/>
      <c r="BA155" s="212"/>
    </row>
    <row r="156" spans="2:53" ht="15.75" customHeight="1" x14ac:dyDescent="0.25">
      <c r="C156" s="569" t="str">
        <f t="shared" si="126"/>
        <v>&gt;50 km</v>
      </c>
      <c r="D156" s="691">
        <f>(D16*(1+'Growth, Modal Shift, InfraCosts'!C16)^'Growth, Modal Shift, InfraCosts'!$D$4)
-(D16*(1+'Growth, Modal Shift, InfraCosts'!C16)^'Growth, Modal Shift, InfraCosts'!$D$4)*'Growth, Modal Shift, InfraCosts'!R12
-(D16*(1+'Growth, Modal Shift, InfraCosts'!C16)^'Growth, Modal Shift, InfraCosts'!$D$4)*'Growth, Modal Shift, InfraCosts'!R11-(D16*(1+'Growth, Modal Shift, InfraCosts'!C16)^'Growth, Modal Shift, InfraCosts'!$D$4)*'Growth, Modal Shift, InfraCosts'!R13</f>
        <v>13187.306919181567</v>
      </c>
      <c r="E156" s="547">
        <f t="shared" si="127"/>
        <v>0.12146756729765952</v>
      </c>
      <c r="F156" s="371">
        <v>4</v>
      </c>
      <c r="G156" s="373">
        <f t="shared" si="133"/>
        <v>0.28999999999999998</v>
      </c>
      <c r="H156" s="823">
        <v>1.1599999999999999</v>
      </c>
      <c r="I156" s="691">
        <f t="shared" si="131"/>
        <v>11368.368033777213</v>
      </c>
      <c r="J156" s="436">
        <f t="shared" si="132"/>
        <v>0.24139866804347868</v>
      </c>
      <c r="K156" s="422">
        <f>(L156/H156)</f>
        <v>1.3036059847660662</v>
      </c>
      <c r="L156" s="376">
        <f>L16*$AV$9</f>
        <v>1.5121829423286366</v>
      </c>
      <c r="M156" s="691">
        <f>D156*K156</f>
        <v>17191.052222792045</v>
      </c>
      <c r="N156" s="372">
        <f t="shared" si="128"/>
        <v>0.11891206330028038</v>
      </c>
      <c r="O156" s="373"/>
      <c r="P156" s="691"/>
      <c r="Q156" s="436"/>
      <c r="S156" s="374"/>
      <c r="T156" s="525"/>
      <c r="U156" s="475" t="str">
        <f>U16</f>
        <v>ICE Plug-in hybrid vehicle Bio-methanol</v>
      </c>
      <c r="V156" s="375">
        <f t="shared" si="129"/>
        <v>0</v>
      </c>
      <c r="W156" s="694"/>
      <c r="X156" s="61">
        <f>X150</f>
        <v>0.36391478260869564</v>
      </c>
      <c r="Y156" s="347">
        <f>$AW$25</f>
        <v>0.72450000000000003</v>
      </c>
      <c r="Z156" s="61">
        <f>1/((AB156/37600)/0.84*1000)</f>
        <v>62.879028535108553</v>
      </c>
      <c r="AA156" s="61">
        <f>1/AB156</f>
        <v>1.990850700832971</v>
      </c>
      <c r="AB156" s="61">
        <f>X156/Y156</f>
        <v>0.50229783658895188</v>
      </c>
      <c r="AC156" s="61">
        <f t="shared" si="135"/>
        <v>0.33502291662172357</v>
      </c>
      <c r="AD156" s="694">
        <f t="shared" si="136"/>
        <v>0</v>
      </c>
      <c r="AE156" s="720"/>
      <c r="AF156" s="721"/>
      <c r="AG156" s="721"/>
      <c r="AH156" s="721"/>
      <c r="AI156" s="722">
        <f>AD156*$AW$17</f>
        <v>0</v>
      </c>
      <c r="AJ156" s="721"/>
      <c r="AK156" s="721"/>
      <c r="AL156" s="721"/>
      <c r="AM156" s="721"/>
      <c r="AN156" s="721"/>
      <c r="AO156" s="722">
        <f>AD156*$AX$17</f>
        <v>0</v>
      </c>
      <c r="AP156" s="721"/>
      <c r="AQ156" s="723"/>
      <c r="AR156" s="645">
        <f>V156*T146</f>
        <v>0</v>
      </c>
      <c r="AT156" s="212"/>
      <c r="AU156" s="212"/>
      <c r="AV156" s="212"/>
      <c r="AW156" s="212"/>
      <c r="AX156" s="212"/>
      <c r="AY156" s="212"/>
      <c r="AZ156" s="212"/>
      <c r="BA156" s="212"/>
    </row>
    <row r="157" spans="2:53" ht="15.75" customHeight="1" thickBot="1" x14ac:dyDescent="0.3">
      <c r="C157" s="568" t="str">
        <f t="shared" si="126"/>
        <v>International</v>
      </c>
      <c r="D157" s="538">
        <f>(D17*(1+'Growth, Modal Shift, InfraCosts'!C17)^'Growth, Modal Shift, InfraCosts'!$D$4)*(1-'Growth, Modal Shift, InfraCosts'!R17)</f>
        <v>2574.9744841219981</v>
      </c>
      <c r="E157" s="448">
        <f t="shared" si="127"/>
        <v>2.3717950022449048E-2</v>
      </c>
      <c r="F157" s="55">
        <v>4</v>
      </c>
      <c r="G157" s="58">
        <f t="shared" si="133"/>
        <v>0.625</v>
      </c>
      <c r="H157" s="824">
        <v>2.5</v>
      </c>
      <c r="I157" s="694">
        <f t="shared" si="131"/>
        <v>1029.9897936487992</v>
      </c>
      <c r="J157" s="417">
        <f t="shared" si="132"/>
        <v>2.1871051636123531E-2</v>
      </c>
      <c r="K157" s="557">
        <f>(L157/H157)</f>
        <v>0.60487317693145459</v>
      </c>
      <c r="L157" s="379">
        <f>L17*$AV$9</f>
        <v>1.5121829423286366</v>
      </c>
      <c r="M157" s="538">
        <f>D157*K157</f>
        <v>1557.5329967283064</v>
      </c>
      <c r="N157" s="365">
        <f t="shared" si="128"/>
        <v>1.0773596630326066E-2</v>
      </c>
      <c r="O157" s="373"/>
      <c r="P157" s="691"/>
      <c r="Q157" s="436"/>
      <c r="S157" s="374"/>
      <c r="T157" s="525"/>
      <c r="U157" s="475" t="s">
        <v>412</v>
      </c>
      <c r="V157" s="375">
        <f t="shared" si="129"/>
        <v>0</v>
      </c>
      <c r="W157" s="694"/>
      <c r="X157" s="61">
        <f t="shared" ref="X157:AB158" si="137">X148</f>
        <v>0.36391478260869564</v>
      </c>
      <c r="Y157" s="362">
        <f t="shared" si="137"/>
        <v>0.22847063524905639</v>
      </c>
      <c r="Z157" s="61">
        <f t="shared" si="137"/>
        <v>22.51841677430485</v>
      </c>
      <c r="AA157" s="61">
        <f t="shared" si="137"/>
        <v>0.62781356011778877</v>
      </c>
      <c r="AB157" s="61">
        <f t="shared" si="137"/>
        <v>1.5928295652173912</v>
      </c>
      <c r="AC157" s="61">
        <f>AB157/H146</f>
        <v>1.0623864324088941</v>
      </c>
      <c r="AD157" s="694">
        <f t="shared" si="136"/>
        <v>0</v>
      </c>
      <c r="AE157" s="720"/>
      <c r="AF157" s="727"/>
      <c r="AG157" s="721"/>
      <c r="AH157" s="722">
        <f>AD157</f>
        <v>0</v>
      </c>
      <c r="AI157" s="721"/>
      <c r="AJ157" s="721"/>
      <c r="AK157" s="721"/>
      <c r="AL157" s="721"/>
      <c r="AM157" s="721"/>
      <c r="AN157" s="721"/>
      <c r="AO157" s="721"/>
      <c r="AP157" s="721"/>
      <c r="AQ157" s="723"/>
      <c r="AR157" s="645">
        <f>V157*T146</f>
        <v>0</v>
      </c>
      <c r="AT157" s="212"/>
      <c r="AU157" s="212"/>
      <c r="AV157" s="212"/>
      <c r="AW157" s="212"/>
      <c r="AX157" s="212"/>
      <c r="AY157" s="212"/>
      <c r="AZ157" s="212"/>
      <c r="BA157" s="212"/>
    </row>
    <row r="158" spans="2:53" ht="15.75" customHeight="1" x14ac:dyDescent="0.25">
      <c r="C158" s="569"/>
      <c r="D158" s="691"/>
      <c r="E158" s="448"/>
      <c r="F158" s="371"/>
      <c r="G158" s="373"/>
      <c r="H158" s="821"/>
      <c r="I158" s="691"/>
      <c r="J158" s="436"/>
      <c r="K158" s="557"/>
      <c r="L158" s="61"/>
      <c r="M158" s="538"/>
      <c r="N158" s="372"/>
      <c r="O158" s="373"/>
      <c r="P158" s="691"/>
      <c r="Q158" s="436"/>
      <c r="S158" s="374"/>
      <c r="T158" s="525"/>
      <c r="U158" s="475" t="s">
        <v>413</v>
      </c>
      <c r="V158" s="375">
        <f t="shared" si="129"/>
        <v>0</v>
      </c>
      <c r="W158" s="694"/>
      <c r="X158" s="61">
        <f t="shared" si="137"/>
        <v>0.36391478260869564</v>
      </c>
      <c r="Y158" s="362">
        <f t="shared" si="137"/>
        <v>0.33345793601053042</v>
      </c>
      <c r="Z158" s="61">
        <f t="shared" si="137"/>
        <v>32.866126413134374</v>
      </c>
      <c r="AA158" s="61">
        <f t="shared" si="137"/>
        <v>0.91630775100742656</v>
      </c>
      <c r="AB158" s="61">
        <f t="shared" si="137"/>
        <v>1.0913363975155277</v>
      </c>
      <c r="AC158" s="61">
        <f>AB158/H146</f>
        <v>0.72790021433100216</v>
      </c>
      <c r="AD158" s="694">
        <f t="shared" si="136"/>
        <v>0</v>
      </c>
      <c r="AE158" s="720"/>
      <c r="AF158" s="727"/>
      <c r="AG158" s="721"/>
      <c r="AH158" s="722">
        <f>AD158</f>
        <v>0</v>
      </c>
      <c r="AI158" s="721"/>
      <c r="AJ158" s="721"/>
      <c r="AK158" s="721"/>
      <c r="AL158" s="721"/>
      <c r="AM158" s="721"/>
      <c r="AN158" s="721"/>
      <c r="AO158" s="721"/>
      <c r="AP158" s="721"/>
      <c r="AQ158" s="723"/>
      <c r="AR158" s="645">
        <f>V158*T146</f>
        <v>0</v>
      </c>
      <c r="AT158" s="1526"/>
      <c r="AU158" s="1526"/>
      <c r="AV158" s="1526"/>
      <c r="AW158" s="1526"/>
      <c r="AX158" s="1526"/>
      <c r="AY158" s="1526"/>
      <c r="AZ158" s="212"/>
      <c r="BA158" s="212"/>
    </row>
    <row r="159" spans="2:53" ht="15.75" customHeight="1" x14ac:dyDescent="0.25">
      <c r="C159" s="569"/>
      <c r="D159" s="691"/>
      <c r="E159" s="448"/>
      <c r="F159" s="371"/>
      <c r="G159" s="373"/>
      <c r="H159" s="821"/>
      <c r="I159" s="691"/>
      <c r="J159" s="436"/>
      <c r="K159" s="557"/>
      <c r="L159" s="61"/>
      <c r="M159" s="538"/>
      <c r="N159" s="372"/>
      <c r="O159" s="373"/>
      <c r="P159" s="691"/>
      <c r="Q159" s="436"/>
      <c r="S159" s="374"/>
      <c r="T159" s="525"/>
      <c r="U159" s="475" t="s">
        <v>414</v>
      </c>
      <c r="V159" s="375">
        <f t="shared" si="129"/>
        <v>0</v>
      </c>
      <c r="W159" s="694"/>
      <c r="X159" s="61">
        <f>X148</f>
        <v>0.36391478260869564</v>
      </c>
      <c r="Y159" s="362">
        <f>Y156</f>
        <v>0.72450000000000003</v>
      </c>
      <c r="Z159" s="61">
        <f>Z150</f>
        <v>71.407832937476996</v>
      </c>
      <c r="AA159" s="61">
        <f>AA150</f>
        <v>1.990850700832971</v>
      </c>
      <c r="AB159" s="61">
        <f>AB150</f>
        <v>0.50229783658895188</v>
      </c>
      <c r="AC159" s="61">
        <f>AB159/H146</f>
        <v>0.33502291662172357</v>
      </c>
      <c r="AD159" s="694">
        <f t="shared" si="136"/>
        <v>0</v>
      </c>
      <c r="AE159" s="720"/>
      <c r="AF159" s="727"/>
      <c r="AG159" s="721"/>
      <c r="AH159" s="722">
        <f>AD159*$AW$17</f>
        <v>0</v>
      </c>
      <c r="AI159" s="721"/>
      <c r="AJ159" s="721"/>
      <c r="AK159" s="721"/>
      <c r="AL159" s="721"/>
      <c r="AM159" s="721"/>
      <c r="AN159" s="721"/>
      <c r="AO159" s="722">
        <f>AD159*$AX$17</f>
        <v>0</v>
      </c>
      <c r="AP159" s="721"/>
      <c r="AQ159" s="723"/>
      <c r="AR159" s="645">
        <f>V159*T146</f>
        <v>0</v>
      </c>
      <c r="AT159" s="894"/>
      <c r="AU159" s="894"/>
      <c r="AV159" s="894"/>
      <c r="AW159" s="894"/>
      <c r="AX159" s="894"/>
      <c r="AY159" s="894"/>
      <c r="AZ159" s="1526"/>
      <c r="BA159" s="1526"/>
    </row>
    <row r="160" spans="2:53" ht="15.75" customHeight="1" x14ac:dyDescent="0.25">
      <c r="C160" s="569"/>
      <c r="D160" s="691"/>
      <c r="E160" s="448"/>
      <c r="F160" s="371"/>
      <c r="G160" s="373"/>
      <c r="H160" s="821"/>
      <c r="I160" s="691"/>
      <c r="J160" s="436"/>
      <c r="K160" s="557"/>
      <c r="L160" s="61"/>
      <c r="M160" s="538"/>
      <c r="N160" s="372"/>
      <c r="O160" s="373"/>
      <c r="P160" s="691"/>
      <c r="Q160" s="436"/>
      <c r="S160" s="374"/>
      <c r="T160" s="525"/>
      <c r="U160" s="475" t="str">
        <f t="shared" ref="U160:U167" si="138">U20</f>
        <v>Fuel cell hybrid vehicle Syn-methanol</v>
      </c>
      <c r="V160" s="375">
        <f t="shared" si="129"/>
        <v>0</v>
      </c>
      <c r="W160" s="694"/>
      <c r="X160" s="61">
        <f>X147</f>
        <v>0.37919999999999998</v>
      </c>
      <c r="Y160" s="347">
        <f>$AU$24</f>
        <v>0.5</v>
      </c>
      <c r="Z160" s="61"/>
      <c r="AA160" s="61">
        <f>1/AB160</f>
        <v>1.3185654008438819</v>
      </c>
      <c r="AB160" s="61">
        <f>X160/Y160</f>
        <v>0.75839999999999996</v>
      </c>
      <c r="AC160" s="61">
        <f>AB160/$H$146</f>
        <v>0.50583809337375052</v>
      </c>
      <c r="AD160" s="694">
        <f>V160*AB160*$I$146</f>
        <v>0</v>
      </c>
      <c r="AE160" s="720"/>
      <c r="AF160" s="721"/>
      <c r="AG160" s="721"/>
      <c r="AH160" s="722">
        <f>AD160</f>
        <v>0</v>
      </c>
      <c r="AI160" s="721"/>
      <c r="AJ160" s="721"/>
      <c r="AK160" s="721"/>
      <c r="AL160" s="721"/>
      <c r="AM160" s="721"/>
      <c r="AN160" s="721"/>
      <c r="AO160" s="721"/>
      <c r="AP160" s="721"/>
      <c r="AQ160" s="721"/>
      <c r="AR160" s="645">
        <f>V160*T146</f>
        <v>0</v>
      </c>
      <c r="AT160" s="894"/>
      <c r="AU160" s="894"/>
      <c r="AV160" s="894"/>
      <c r="AW160" s="894"/>
      <c r="AX160" s="894"/>
      <c r="AY160" s="894"/>
      <c r="AZ160" s="894"/>
      <c r="BA160" s="894"/>
    </row>
    <row r="161" spans="3:53" ht="15.75" customHeight="1" thickBot="1" x14ac:dyDescent="0.3">
      <c r="C161" s="569"/>
      <c r="D161" s="691"/>
      <c r="E161" s="448"/>
      <c r="F161" s="371"/>
      <c r="G161" s="373"/>
      <c r="H161" s="821"/>
      <c r="I161" s="691"/>
      <c r="J161" s="436"/>
      <c r="K161" s="557"/>
      <c r="L161" s="61"/>
      <c r="M161" s="538"/>
      <c r="N161" s="372"/>
      <c r="O161" s="373"/>
      <c r="P161" s="691"/>
      <c r="Q161" s="436"/>
      <c r="S161" s="374"/>
      <c r="T161" s="525"/>
      <c r="U161" s="475" t="str">
        <f t="shared" si="138"/>
        <v>Plug-in fuel cell hybrid vehicle Electricity &amp; Syn-methanol</v>
      </c>
      <c r="V161" s="375">
        <f t="shared" si="129"/>
        <v>0</v>
      </c>
      <c r="W161" s="694"/>
      <c r="X161" s="61">
        <f>X160</f>
        <v>0.37919999999999998</v>
      </c>
      <c r="Y161" s="347">
        <f>$AU$25</f>
        <v>0.79148142829089241</v>
      </c>
      <c r="Z161" s="61"/>
      <c r="AA161" s="61">
        <f>1/AB161</f>
        <v>2.0872400535097375</v>
      </c>
      <c r="AB161" s="61">
        <f>X161/Y161</f>
        <v>0.47910157641833256</v>
      </c>
      <c r="AC161" s="61">
        <f>AB161/$H$146</f>
        <v>0.31955146090164505</v>
      </c>
      <c r="AD161" s="694">
        <f>V161*AB161*$I$146</f>
        <v>0</v>
      </c>
      <c r="AE161" s="720"/>
      <c r="AF161" s="721"/>
      <c r="AG161" s="721"/>
      <c r="AH161" s="722">
        <f>AD161*$AU$17</f>
        <v>0</v>
      </c>
      <c r="AI161" s="721"/>
      <c r="AJ161" s="721"/>
      <c r="AK161" s="721"/>
      <c r="AL161" s="721"/>
      <c r="AM161" s="721"/>
      <c r="AN161" s="721"/>
      <c r="AO161" s="722">
        <f>AD161*$AV$17</f>
        <v>0</v>
      </c>
      <c r="AP161" s="721"/>
      <c r="AQ161" s="721"/>
      <c r="AR161" s="645">
        <f>V161*T146</f>
        <v>0</v>
      </c>
      <c r="AT161" s="894"/>
      <c r="AU161" s="894"/>
      <c r="AV161" s="894"/>
      <c r="AW161" s="894"/>
      <c r="AX161" s="894"/>
      <c r="AY161" s="894"/>
      <c r="AZ161" s="894"/>
      <c r="BA161" s="894"/>
    </row>
    <row r="162" spans="3:53" ht="15.75" customHeight="1" thickBot="1" x14ac:dyDescent="0.3">
      <c r="C162" s="569"/>
      <c r="D162" s="691"/>
      <c r="E162" s="448"/>
      <c r="F162" s="371"/>
      <c r="G162" s="373"/>
      <c r="H162" s="821"/>
      <c r="I162" s="691"/>
      <c r="J162" s="436"/>
      <c r="K162" s="557"/>
      <c r="L162" s="61"/>
      <c r="M162" s="538"/>
      <c r="N162" s="372"/>
      <c r="O162" s="373"/>
      <c r="P162" s="691"/>
      <c r="Q162" s="436"/>
      <c r="S162" s="374"/>
      <c r="T162" s="525"/>
      <c r="U162" s="475" t="str">
        <f t="shared" si="138"/>
        <v>ICE Biogas</v>
      </c>
      <c r="V162" s="295">
        <f t="shared" si="129"/>
        <v>0</v>
      </c>
      <c r="W162" s="694"/>
      <c r="X162" s="601">
        <v>0.37808217391304355</v>
      </c>
      <c r="Y162" s="347">
        <f>X162/AB162</f>
        <v>0.19052430367957024</v>
      </c>
      <c r="Z162" s="61"/>
      <c r="AA162" s="61">
        <f>1/AB162</f>
        <v>0.5039230009383876</v>
      </c>
      <c r="AB162" s="601">
        <f>(AB22+AB302)/2</f>
        <v>1.9844301572617948</v>
      </c>
      <c r="AC162" s="61">
        <f>AB162/$H$146</f>
        <v>1.3235764335214639</v>
      </c>
      <c r="AD162" s="694">
        <f>V162*AB162*$I$146</f>
        <v>0</v>
      </c>
      <c r="AE162" s="720"/>
      <c r="AF162" s="721"/>
      <c r="AG162" s="721"/>
      <c r="AH162" s="721"/>
      <c r="AI162" s="721"/>
      <c r="AJ162" s="721"/>
      <c r="AK162" s="721"/>
      <c r="AL162" s="722">
        <f>AD162</f>
        <v>0</v>
      </c>
      <c r="AM162" s="721"/>
      <c r="AN162" s="721"/>
      <c r="AO162" s="721"/>
      <c r="AP162" s="721"/>
      <c r="AQ162" s="723"/>
      <c r="AR162" s="645">
        <f>V162*T146</f>
        <v>0</v>
      </c>
      <c r="AT162" s="212"/>
      <c r="AU162" s="212"/>
      <c r="AV162" s="212"/>
      <c r="AW162" s="212"/>
      <c r="AX162" s="212"/>
      <c r="AY162" s="212"/>
      <c r="AZ162" s="894"/>
      <c r="BA162" s="894"/>
    </row>
    <row r="163" spans="3:53" ht="15.75" customHeight="1" x14ac:dyDescent="0.25">
      <c r="C163" s="570"/>
      <c r="D163" s="692"/>
      <c r="E163" s="456"/>
      <c r="F163" s="389"/>
      <c r="G163" s="387"/>
      <c r="H163" s="825"/>
      <c r="I163" s="773"/>
      <c r="J163" s="458"/>
      <c r="K163" s="558"/>
      <c r="L163" s="476"/>
      <c r="M163" s="692"/>
      <c r="N163" s="386"/>
      <c r="O163" s="381"/>
      <c r="P163" s="538"/>
      <c r="Q163" s="473"/>
      <c r="S163" s="661"/>
      <c r="T163" s="525"/>
      <c r="U163" s="477" t="str">
        <f t="shared" si="138"/>
        <v>No shift in technology</v>
      </c>
      <c r="V163" s="357">
        <f>1-SUM(V147:V162)</f>
        <v>1</v>
      </c>
      <c r="W163" s="694">
        <f>AB163*73.5</f>
        <v>166.27104031327855</v>
      </c>
      <c r="X163" s="61">
        <f>(X152*Q148+X148*Q147+Q149*X153+Q150*X151)</f>
        <v>0.35982257607803042</v>
      </c>
      <c r="Y163" s="347">
        <f>X163/AB163</f>
        <v>0.1590593244133516</v>
      </c>
      <c r="Z163" s="61"/>
      <c r="AA163" s="61"/>
      <c r="AB163" s="61">
        <f>L146</f>
        <v>2.2621910246704564</v>
      </c>
      <c r="AC163" s="411">
        <f>K146</f>
        <v>1.5088375458419234</v>
      </c>
      <c r="AD163" s="752">
        <f t="shared" si="136"/>
        <v>97212.619593283394</v>
      </c>
      <c r="AE163" s="728">
        <f>+AD163*Q148</f>
        <v>60289.284218838293</v>
      </c>
      <c r="AF163" s="729">
        <f>AD163*Q147</f>
        <v>31333.609747831299</v>
      </c>
      <c r="AG163" s="730"/>
      <c r="AH163" s="730"/>
      <c r="AI163" s="893"/>
      <c r="AJ163" s="729">
        <f>AD163*Q149</f>
        <v>2794.8628133068978</v>
      </c>
      <c r="AK163" s="729">
        <f>AD163*Q150</f>
        <v>2794.8628133068978</v>
      </c>
      <c r="AL163" s="730"/>
      <c r="AM163" s="730"/>
      <c r="AN163" s="730"/>
      <c r="AO163" s="730"/>
      <c r="AP163" s="730"/>
      <c r="AQ163" s="731"/>
      <c r="AR163" s="645">
        <f>T146-SUM(V147:V162)*T146</f>
        <v>2387916.5365056777</v>
      </c>
      <c r="AT163" s="212"/>
      <c r="AU163" s="212"/>
      <c r="AV163" s="212"/>
      <c r="AW163" s="212"/>
      <c r="AX163" s="212"/>
      <c r="AY163" s="212"/>
      <c r="AZ163" s="212"/>
      <c r="BA163" s="212"/>
    </row>
    <row r="164" spans="3:53" ht="15.75" customHeight="1" thickBot="1" x14ac:dyDescent="0.3">
      <c r="C164" s="571" t="str">
        <f>C24</f>
        <v>Rail</v>
      </c>
      <c r="D164" s="693">
        <f>D168+D165</f>
        <v>7461.933747396828</v>
      </c>
      <c r="E164" s="392">
        <f>E168+E165</f>
        <v>6.8731466188462167E-2</v>
      </c>
      <c r="F164" s="1319">
        <v>210</v>
      </c>
      <c r="G164" s="1339">
        <f>H164/F164</f>
        <v>0.4073985717082822</v>
      </c>
      <c r="H164" s="1337">
        <f>((H165*D165)+(H168*D168))/(D165+D168)</f>
        <v>85.553700058739267</v>
      </c>
      <c r="I164" s="759">
        <f>I165+I168</f>
        <v>83.727865585065416</v>
      </c>
      <c r="J164" s="797">
        <f>J165+J168</f>
        <v>1.7778976868364732E-3</v>
      </c>
      <c r="K164" s="1338">
        <f>L164/H164</f>
        <v>0.3550572512851885</v>
      </c>
      <c r="L164" s="1319">
        <f>((L165*I165)+(L168*I168))/(I165+I168)</f>
        <v>30.376461580133434</v>
      </c>
      <c r="M164" s="693">
        <f>M168+M165</f>
        <v>2659.9693844492276</v>
      </c>
      <c r="N164" s="413">
        <f>N168+N165</f>
        <v>1.8399248848832997E-2</v>
      </c>
      <c r="O164" s="682" t="s">
        <v>60</v>
      </c>
      <c r="P164" s="759">
        <f>SUM(P165:P166)</f>
        <v>2659.9693844492281</v>
      </c>
      <c r="Q164" s="801">
        <f>SUM(Q165:Q166)</f>
        <v>1</v>
      </c>
      <c r="R164" s="759">
        <f>SUM(R165:R166)</f>
        <v>7461.9337473968289</v>
      </c>
      <c r="S164" s="797">
        <f>SUM(S165:S166)</f>
        <v>1.0000000000000002</v>
      </c>
      <c r="T164" s="680">
        <f>T24*(I164/I24)</f>
        <v>471.09759587600729</v>
      </c>
      <c r="U164" s="478" t="str">
        <f t="shared" si="138"/>
        <v xml:space="preserve">Sum </v>
      </c>
      <c r="V164" s="396"/>
      <c r="W164" s="761"/>
      <c r="X164" s="395"/>
      <c r="Y164" s="605"/>
      <c r="Z164" s="395"/>
      <c r="AA164" s="395"/>
      <c r="AB164" s="395"/>
      <c r="AC164" s="395"/>
      <c r="AD164" s="753">
        <f>SUM(AD165:AD169)</f>
        <v>2659.9693844492276</v>
      </c>
      <c r="AE164" s="725"/>
      <c r="AF164" s="721"/>
      <c r="AG164" s="721"/>
      <c r="AH164" s="721"/>
      <c r="AI164" s="721"/>
      <c r="AJ164" s="721"/>
      <c r="AK164" s="721"/>
      <c r="AL164" s="721"/>
      <c r="AM164" s="721"/>
      <c r="AN164" s="721"/>
      <c r="AO164" s="721"/>
      <c r="AP164" s="721"/>
      <c r="AQ164" s="723"/>
      <c r="AR164" s="646">
        <f>SUM(AR165:AR169)</f>
        <v>471.09759587600729</v>
      </c>
      <c r="AT164" s="212"/>
      <c r="AU164" s="212"/>
      <c r="AV164" s="212"/>
      <c r="AW164" s="212"/>
      <c r="AX164" s="212"/>
      <c r="AY164" s="212"/>
      <c r="AZ164" s="212"/>
      <c r="BA164" s="212"/>
    </row>
    <row r="165" spans="3:53" ht="15.75" customHeight="1" thickBot="1" x14ac:dyDescent="0.3">
      <c r="C165" s="572" t="str">
        <f>C25</f>
        <v>National rail</v>
      </c>
      <c r="D165" s="694">
        <f>SUM(D166:D167)</f>
        <v>6357.7807091454961</v>
      </c>
      <c r="E165" s="549">
        <f>D165/$D$196</f>
        <v>5.85611725642479E-2</v>
      </c>
      <c r="F165" s="507">
        <v>210</v>
      </c>
      <c r="G165" s="1318">
        <f>H165/F165</f>
        <v>0.4</v>
      </c>
      <c r="H165" s="827">
        <f>((H166*D166)+(H167*D167))/(D166+D167)</f>
        <v>84</v>
      </c>
      <c r="I165" s="538">
        <f>SUM(I166:I167)</f>
        <v>75.687865585065424</v>
      </c>
      <c r="J165" s="661">
        <f>I165/I196</f>
        <v>1.6071743881797961E-3</v>
      </c>
      <c r="K165" s="363">
        <f>((I166*K166)+(I167*K167))/SUM(I166:I167)</f>
        <v>0.3595714285714286</v>
      </c>
      <c r="L165" s="364">
        <f>((I166*L166)+(I167*L167))/SUM(I166:I167)</f>
        <v>30.204000000000001</v>
      </c>
      <c r="M165" s="694">
        <f>D165*K165</f>
        <v>2286.0762921313162</v>
      </c>
      <c r="N165" s="397">
        <f>M165/$M$196</f>
        <v>1.581299650749585E-2</v>
      </c>
      <c r="O165" s="450" t="s">
        <v>3</v>
      </c>
      <c r="P165" s="532">
        <f>M166</f>
        <v>241.14153975401845</v>
      </c>
      <c r="Q165" s="436">
        <f>P165/SUM(P165:P166)</f>
        <v>9.06557576052512E-2</v>
      </c>
      <c r="R165" s="532">
        <f>D166</f>
        <v>317.88903545727482</v>
      </c>
      <c r="S165" s="367">
        <f>D166/SUM(D165+D168)</f>
        <v>4.2601428291717765E-2</v>
      </c>
      <c r="T165" s="677">
        <f>S165*T164</f>
        <v>20.06943044911236</v>
      </c>
      <c r="U165" s="477" t="str">
        <f t="shared" si="138"/>
        <v>Syn-methanol trains</v>
      </c>
      <c r="V165" s="294">
        <f>V25</f>
        <v>0</v>
      </c>
      <c r="W165" s="694"/>
      <c r="X165" s="58"/>
      <c r="Y165" s="58"/>
      <c r="Z165" s="58"/>
      <c r="AA165" s="58"/>
      <c r="AB165" s="58"/>
      <c r="AC165" s="61">
        <f>K166</f>
        <v>0.75857142857142856</v>
      </c>
      <c r="AD165" s="752">
        <f>V165*(D165+D168)*AC165</f>
        <v>0</v>
      </c>
      <c r="AE165" s="725"/>
      <c r="AF165" s="721"/>
      <c r="AG165" s="721"/>
      <c r="AH165" s="722">
        <f>AD165</f>
        <v>0</v>
      </c>
      <c r="AJ165" s="721"/>
      <c r="AK165" s="721"/>
      <c r="AL165" s="721"/>
      <c r="AM165" s="721"/>
      <c r="AN165" s="721"/>
      <c r="AO165" s="721"/>
      <c r="AP165" s="721"/>
      <c r="AQ165" s="723"/>
      <c r="AR165" s="645">
        <f>V165*T164</f>
        <v>0</v>
      </c>
      <c r="AT165" s="212"/>
      <c r="AU165" s="212"/>
      <c r="AV165" s="212"/>
      <c r="AW165" s="212"/>
      <c r="AX165" s="212"/>
      <c r="AY165" s="212"/>
      <c r="AZ165" s="212"/>
      <c r="BA165" s="212"/>
    </row>
    <row r="166" spans="3:53" ht="15.75" customHeight="1" x14ac:dyDescent="0.25">
      <c r="C166" s="569" t="str">
        <f>C26</f>
        <v>National rail (diesel)</v>
      </c>
      <c r="D166" s="691">
        <f>(0.05*D25*(1+'Growth, Modal Shift, InfraCosts'!C20)^'Growth, Modal Shift, InfraCosts'!$D$4)</f>
        <v>317.88903545727482</v>
      </c>
      <c r="E166" s="547">
        <f>D166/$D$196</f>
        <v>2.9280586282123952E-3</v>
      </c>
      <c r="F166" s="414">
        <v>210</v>
      </c>
      <c r="G166" s="399">
        <v>0.4</v>
      </c>
      <c r="H166" s="828">
        <f>G166*F166</f>
        <v>84</v>
      </c>
      <c r="I166" s="691">
        <f>D166/H166</f>
        <v>3.7843932792532717</v>
      </c>
      <c r="J166" s="436">
        <f>I166/I196</f>
        <v>8.035871940898981E-5</v>
      </c>
      <c r="K166" s="422">
        <f>L166/H166</f>
        <v>0.75857142857142856</v>
      </c>
      <c r="L166" s="398">
        <v>63.72</v>
      </c>
      <c r="M166" s="691">
        <f>D166*K166</f>
        <v>241.14153975401845</v>
      </c>
      <c r="N166" s="372">
        <f>M166/$M$196</f>
        <v>1.6679978437585013E-3</v>
      </c>
      <c r="O166" s="58" t="s">
        <v>5</v>
      </c>
      <c r="P166" s="694">
        <f>M167+M168</f>
        <v>2418.8278446952095</v>
      </c>
      <c r="Q166" s="358">
        <f>P166/SUM(P165:P166)</f>
        <v>0.90934424239474876</v>
      </c>
      <c r="R166" s="694">
        <f>D167+D168</f>
        <v>7144.044711939554</v>
      </c>
      <c r="S166" s="63">
        <f>R166/SUM(D165+D168)</f>
        <v>0.95739857170828235</v>
      </c>
      <c r="T166" s="677">
        <f>S166*T164</f>
        <v>451.02816542689499</v>
      </c>
      <c r="U166" s="477" t="str">
        <f t="shared" si="138"/>
        <v>Electric trains</v>
      </c>
      <c r="V166" s="375">
        <f>V26</f>
        <v>0</v>
      </c>
      <c r="W166" s="694"/>
      <c r="X166" s="58"/>
      <c r="Y166" s="58"/>
      <c r="Z166" s="58"/>
      <c r="AA166" s="58"/>
      <c r="AB166" s="58"/>
      <c r="AC166" s="61">
        <f>K167</f>
        <v>0.33857142857142858</v>
      </c>
      <c r="AD166" s="752">
        <f>V166*($D$165+$D$168)*AC166</f>
        <v>0</v>
      </c>
      <c r="AE166" s="725"/>
      <c r="AF166" s="721"/>
      <c r="AG166" s="721"/>
      <c r="AH166" s="721"/>
      <c r="AI166" s="721"/>
      <c r="AJ166" s="721"/>
      <c r="AK166" s="721"/>
      <c r="AL166" s="721"/>
      <c r="AM166" s="721"/>
      <c r="AN166" s="721"/>
      <c r="AO166" s="721"/>
      <c r="AP166" s="722">
        <f>+AD166</f>
        <v>0</v>
      </c>
      <c r="AQ166" s="723"/>
      <c r="AR166" s="645">
        <f>V166*T164</f>
        <v>0</v>
      </c>
      <c r="AT166" s="212"/>
      <c r="AU166" s="212"/>
      <c r="AV166" s="212"/>
      <c r="AW166" s="212"/>
      <c r="AX166" s="212"/>
      <c r="AY166" s="212"/>
      <c r="AZ166" s="212"/>
      <c r="BA166" s="212"/>
    </row>
    <row r="167" spans="3:53" ht="15.75" customHeight="1" x14ac:dyDescent="0.25">
      <c r="C167" s="569" t="str">
        <f>C27</f>
        <v>National rail (electricity)</v>
      </c>
      <c r="D167" s="691">
        <f>(0.95*D25*(1+'Growth, Modal Shift, InfraCosts'!C21)^'Growth, Modal Shift, InfraCosts'!$D$4)
+'Growth, Modal Shift, InfraCosts'!R12*(D16*'Growth, Modal Shift, InfraCosts'!D16)
+'Growth, Modal Shift, InfraCosts'!R8*(D11*'Growth, Modal Shift, InfraCosts'!D11)
+'Growth, Modal Shift, InfraCosts'!R16*(D47*'Growth, Modal Shift, InfraCosts'!D36)</f>
        <v>6039.8916736882211</v>
      </c>
      <c r="E167" s="547">
        <f>D167/$D$196</f>
        <v>5.5633113936035504E-2</v>
      </c>
      <c r="F167" s="414">
        <v>210</v>
      </c>
      <c r="G167" s="1582">
        <v>0.4</v>
      </c>
      <c r="H167" s="828">
        <f>G167*F167</f>
        <v>84</v>
      </c>
      <c r="I167" s="691">
        <f>D167/H167</f>
        <v>71.903472305812159</v>
      </c>
      <c r="J167" s="436">
        <f>I167/I196</f>
        <v>1.5268156687708063E-3</v>
      </c>
      <c r="K167" s="422">
        <f>L167/H167</f>
        <v>0.33857142857142858</v>
      </c>
      <c r="L167" s="401">
        <v>28.44</v>
      </c>
      <c r="M167" s="691">
        <f>D167*K167</f>
        <v>2044.9347523772979</v>
      </c>
      <c r="N167" s="372">
        <f>M167/$M$196</f>
        <v>1.4144998663737349E-2</v>
      </c>
      <c r="T167" s="756"/>
      <c r="U167" s="477" t="str">
        <f t="shared" si="138"/>
        <v>Diesel trains</v>
      </c>
      <c r="V167" s="375">
        <f>V27</f>
        <v>0</v>
      </c>
      <c r="W167" s="694"/>
      <c r="X167" s="58"/>
      <c r="Y167" s="58"/>
      <c r="Z167" s="58"/>
      <c r="AA167" s="58"/>
      <c r="AB167" s="58"/>
      <c r="AC167" s="61">
        <f>AC165</f>
        <v>0.75857142857142856</v>
      </c>
      <c r="AD167" s="752">
        <f>V167*($D$165+$D$168)*AC167</f>
        <v>0</v>
      </c>
      <c r="AE167" s="725"/>
      <c r="AF167" s="722">
        <f>AD167</f>
        <v>0</v>
      </c>
      <c r="AG167" s="721"/>
      <c r="AH167" s="721"/>
      <c r="AI167" s="721"/>
      <c r="AJ167" s="721"/>
      <c r="AK167" s="721"/>
      <c r="AL167" s="721"/>
      <c r="AM167" s="721"/>
      <c r="AN167" s="721"/>
      <c r="AO167" s="721"/>
      <c r="AP167" s="721"/>
      <c r="AQ167" s="723"/>
      <c r="AR167" s="645">
        <f>V167*T164</f>
        <v>0</v>
      </c>
      <c r="AT167" s="212"/>
      <c r="AU167" s="212"/>
      <c r="AV167" s="212"/>
      <c r="AW167" s="212"/>
      <c r="AX167" s="212"/>
      <c r="AY167" s="212"/>
      <c r="AZ167" s="212"/>
      <c r="BA167" s="212"/>
    </row>
    <row r="168" spans="3:53" ht="15.75" customHeight="1" thickBot="1" x14ac:dyDescent="0.3">
      <c r="C168" s="568" t="str">
        <f>C28</f>
        <v>International rail (electricity)</v>
      </c>
      <c r="D168" s="538">
        <f>(D28*(1+'Growth, Modal Shift, InfraCosts'!C22)^'Growth, Modal Shift, InfraCosts'!$D$4)+('Growth, Modal Shift, InfraCosts'!R15*(D49*'Growth, Modal Shift, InfraCosts'!D38))+('Growth, Modal Shift, InfraCosts'!R17*(D17*'Growth, Modal Shift, InfraCosts'!D17))</f>
        <v>1104.1530382513324</v>
      </c>
      <c r="E168" s="547">
        <f>D168/D196</f>
        <v>1.0170293624214266E-2</v>
      </c>
      <c r="F168" s="502">
        <v>210</v>
      </c>
      <c r="G168" s="403">
        <v>0.45</v>
      </c>
      <c r="H168" s="821">
        <f>G168*F168</f>
        <v>94.5</v>
      </c>
      <c r="I168" s="694">
        <v>8.0399999999999991</v>
      </c>
      <c r="J168" s="358">
        <f>I168/I196</f>
        <v>1.7072329865667712E-4</v>
      </c>
      <c r="K168" s="557">
        <f>L168/H168</f>
        <v>0.33862433862433861</v>
      </c>
      <c r="L168" s="402">
        <v>32</v>
      </c>
      <c r="M168" s="538">
        <f>D168*K168</f>
        <v>373.89309231791151</v>
      </c>
      <c r="N168" s="397">
        <f>M168/$M$196</f>
        <v>2.5862523413371459E-3</v>
      </c>
      <c r="T168" s="756"/>
      <c r="U168" s="477" t="s">
        <v>425</v>
      </c>
      <c r="V168" s="295">
        <f>V28</f>
        <v>0</v>
      </c>
      <c r="W168" s="694"/>
      <c r="X168" s="58"/>
      <c r="Y168" s="58"/>
      <c r="Z168" s="58"/>
      <c r="AA168" s="58"/>
      <c r="AB168" s="58"/>
      <c r="AC168" s="61">
        <f>AC167</f>
        <v>0.75857142857142856</v>
      </c>
      <c r="AD168" s="752">
        <f>V168*($D$165+$D$168)*AC168</f>
        <v>0</v>
      </c>
      <c r="AE168" s="725"/>
      <c r="AF168" s="532"/>
      <c r="AG168" s="721"/>
      <c r="AH168" s="721"/>
      <c r="AI168" s="722">
        <f>AD168</f>
        <v>0</v>
      </c>
      <c r="AJ168" s="721"/>
      <c r="AK168" s="721"/>
      <c r="AL168" s="721"/>
      <c r="AM168" s="721"/>
      <c r="AN168" s="721"/>
      <c r="AO168" s="721"/>
      <c r="AP168" s="721"/>
      <c r="AQ168" s="723"/>
      <c r="AR168" s="645">
        <f>V168*T165</f>
        <v>0</v>
      </c>
      <c r="AT168" s="212"/>
      <c r="AU168" s="212"/>
      <c r="AV168" s="212"/>
      <c r="AW168" s="212"/>
      <c r="AX168" s="212"/>
      <c r="AY168" s="212"/>
      <c r="AZ168" s="212"/>
      <c r="BA168" s="212"/>
    </row>
    <row r="169" spans="3:53" ht="15.75" customHeight="1" x14ac:dyDescent="0.25">
      <c r="C169" s="568"/>
      <c r="D169" s="538"/>
      <c r="E169" s="456"/>
      <c r="F169" s="502"/>
      <c r="K169" s="544"/>
      <c r="L169" s="4"/>
      <c r="M169" s="532"/>
      <c r="N169" s="397"/>
      <c r="O169" s="556"/>
      <c r="P169" s="705"/>
      <c r="Q169" s="417"/>
      <c r="R169" s="705"/>
      <c r="S169" s="366"/>
      <c r="T169" s="527"/>
      <c r="U169" s="477" t="str">
        <f t="shared" ref="U169:U176" si="139">U29</f>
        <v>No shift in technology</v>
      </c>
      <c r="V169" s="357">
        <f>1-SUM(V165:V168)</f>
        <v>1</v>
      </c>
      <c r="W169" s="694"/>
      <c r="X169" s="58"/>
      <c r="Y169" s="58"/>
      <c r="Z169" s="58"/>
      <c r="AA169" s="58"/>
      <c r="AB169" s="58"/>
      <c r="AC169" s="61">
        <f>((K165*D165)+(D168*K168))/SUM(D165+D168)</f>
        <v>0.35647185763036093</v>
      </c>
      <c r="AD169" s="752">
        <f>V169*($D$165+$D$168)*AC169</f>
        <v>2659.9693844492276</v>
      </c>
      <c r="AE169" s="732"/>
      <c r="AF169" s="729">
        <f>+AD169*Q165</f>
        <v>241.14153975401842</v>
      </c>
      <c r="AG169" s="730"/>
      <c r="AH169" s="730"/>
      <c r="AI169" s="730"/>
      <c r="AJ169" s="730"/>
      <c r="AK169" s="730"/>
      <c r="AL169" s="730"/>
      <c r="AM169" s="730"/>
      <c r="AN169" s="730"/>
      <c r="AO169" s="730"/>
      <c r="AP169" s="729">
        <f>AD169*Q166</f>
        <v>2418.827844695209</v>
      </c>
      <c r="AQ169" s="731"/>
      <c r="AR169" s="645">
        <f>T164-SUM(V165:V168)*T164</f>
        <v>471.09759587600729</v>
      </c>
      <c r="AT169" s="212"/>
      <c r="AU169" s="212"/>
      <c r="AV169" s="212"/>
      <c r="AW169" s="212"/>
      <c r="AX169" s="212"/>
      <c r="AY169" s="212"/>
      <c r="AZ169" s="212"/>
      <c r="BA169" s="212"/>
    </row>
    <row r="170" spans="3:53" ht="15.75" customHeight="1" thickBot="1" x14ac:dyDescent="0.3">
      <c r="C170" s="571" t="str">
        <f t="shared" ref="C170:C176" si="140">C30</f>
        <v>Bus</v>
      </c>
      <c r="D170" s="693">
        <f>D176+D171</f>
        <v>9335.1984680573551</v>
      </c>
      <c r="E170" s="392">
        <f>E176+E171</f>
        <v>8.598600571784816E-2</v>
      </c>
      <c r="F170" s="1319">
        <f>(I171*F171+I176*F176)/(I171+I176)</f>
        <v>49.54299677980211</v>
      </c>
      <c r="G170" s="1320">
        <f>H170/F170</f>
        <v>0.29818619046604461</v>
      </c>
      <c r="H170" s="1321">
        <f>((H171*I171)+(H176*I176))/(I171+I176)</f>
        <v>14.773037474040708</v>
      </c>
      <c r="I170" s="759">
        <f>I171+I176</f>
        <v>631.90785811389401</v>
      </c>
      <c r="J170" s="797">
        <f>J171+J176</f>
        <v>1.3418083828890485E-2</v>
      </c>
      <c r="K170" s="1324">
        <f t="shared" ref="K170:K176" si="141">L170/H170</f>
        <v>0.91365172398894634</v>
      </c>
      <c r="L170" s="1324">
        <f>((L171*I171)+(L176*I176))/(I171+I176)</f>
        <v>13.497411156710601</v>
      </c>
      <c r="M170" s="693">
        <f>M176+M171</f>
        <v>8529.1201741195728</v>
      </c>
      <c r="N170" s="413">
        <f>N176+N171</f>
        <v>5.8996695775023582E-2</v>
      </c>
      <c r="O170" s="682" t="s">
        <v>60</v>
      </c>
      <c r="P170" s="759">
        <f>SUM(P171+P172)</f>
        <v>8529.1201741195728</v>
      </c>
      <c r="Q170" s="801">
        <f>SUM(Q171+Q172)</f>
        <v>1</v>
      </c>
      <c r="R170" s="759">
        <f>SUM(R171+R172)</f>
        <v>9335.1984680573551</v>
      </c>
      <c r="S170" s="797">
        <f>SUM(S171+S172)</f>
        <v>1</v>
      </c>
      <c r="T170" s="680">
        <f>T30*(I170/I30)</f>
        <v>14875.824822037219</v>
      </c>
      <c r="U170" s="478" t="str">
        <f t="shared" si="139"/>
        <v xml:space="preserve">Sum </v>
      </c>
      <c r="V170" s="396"/>
      <c r="W170" s="762"/>
      <c r="X170" s="625"/>
      <c r="Y170" s="607"/>
      <c r="Z170" s="625"/>
      <c r="AA170" s="625"/>
      <c r="AB170" s="625"/>
      <c r="AC170" s="625"/>
      <c r="AD170" s="753">
        <f>SUM(AD171:AD180)</f>
        <v>8529.1201741195728</v>
      </c>
      <c r="AE170" s="720"/>
      <c r="AF170" s="721"/>
      <c r="AG170" s="721"/>
      <c r="AH170" s="892"/>
      <c r="AI170" s="892"/>
      <c r="AJ170" s="721"/>
      <c r="AK170" s="721"/>
      <c r="AL170" s="721"/>
      <c r="AM170" s="721"/>
      <c r="AN170" s="721"/>
      <c r="AO170" s="721"/>
      <c r="AP170" s="721"/>
      <c r="AQ170" s="723"/>
      <c r="AR170" s="646">
        <f>SUM(AR171:AR180)</f>
        <v>14875.824822037219</v>
      </c>
      <c r="AT170" s="212"/>
      <c r="AU170" s="212"/>
      <c r="AV170" s="212"/>
      <c r="AW170" s="212"/>
      <c r="AX170" s="212"/>
      <c r="AY170" s="212"/>
      <c r="AZ170" s="212"/>
      <c r="BA170" s="212"/>
    </row>
    <row r="171" spans="3:53" ht="15.75" customHeight="1" thickBot="1" x14ac:dyDescent="0.3">
      <c r="C171" s="568" t="str">
        <f t="shared" si="140"/>
        <v>National bus</v>
      </c>
      <c r="D171" s="538">
        <f>SUM(D172:D175)</f>
        <v>7433.2982559198126</v>
      </c>
      <c r="E171" s="547">
        <f>D171/$D$196</f>
        <v>6.8467706232816741E-2</v>
      </c>
      <c r="F171" s="1322">
        <f>((F172*I172)+(F173*I173)+(F174*I174)+(F175*I175))/(I172+I173+I174+I175)</f>
        <v>49.500000000000007</v>
      </c>
      <c r="G171" s="1318">
        <f>H171/F171</f>
        <v>0.26</v>
      </c>
      <c r="H171" s="1323">
        <f>((H172*I172)+(H173*I173)+(H174*I174)+(H175*I175))/(I172+I173+I174+I175)</f>
        <v>12.870000000000001</v>
      </c>
      <c r="I171" s="538">
        <f t="shared" ref="I171" si="142">D171/H171</f>
        <v>577.56785205282142</v>
      </c>
      <c r="J171" s="661">
        <f>I171/I196</f>
        <v>1.2264215037376784E-2</v>
      </c>
      <c r="K171" s="363">
        <f t="shared" si="141"/>
        <v>1.007912941433831</v>
      </c>
      <c r="L171" s="363">
        <f>((L172*I172)+(L173*I173)+(L174*I174)+(L175*I175))/(I172+I173+I174+I175)</f>
        <v>12.971839556253407</v>
      </c>
      <c r="M171" s="538">
        <f t="shared" ref="M171:M176" si="143">K171*D171</f>
        <v>7492.1175096791048</v>
      </c>
      <c r="N171" s="365">
        <f>M171/M196</f>
        <v>5.1823654539478028E-2</v>
      </c>
      <c r="O171" s="450" t="s">
        <v>3</v>
      </c>
      <c r="P171" s="532">
        <f>Q171*M170</f>
        <v>8038.695764107697</v>
      </c>
      <c r="Q171" s="436">
        <f>1-Q172</f>
        <v>0.9425</v>
      </c>
      <c r="R171" s="532">
        <f>S171*D170</f>
        <v>8859.2671814593486</v>
      </c>
      <c r="S171" s="367">
        <f>Q171*Z176/(Q171*Z176+Q172*Z173)</f>
        <v>0.94901755027206758</v>
      </c>
      <c r="T171" s="677">
        <f>S171*T170</f>
        <v>14117.418830886178</v>
      </c>
      <c r="U171" s="475" t="str">
        <f t="shared" si="139"/>
        <v>Battery electric busses</v>
      </c>
      <c r="V171" s="294">
        <f t="shared" ref="V171:V179" si="144">V31</f>
        <v>0</v>
      </c>
      <c r="W171" s="694"/>
      <c r="X171" s="61">
        <v>2.0499999999999998</v>
      </c>
      <c r="Y171" s="347">
        <f>(Y31+Y311)/2</f>
        <v>0.87</v>
      </c>
      <c r="Z171" s="61"/>
      <c r="AA171" s="61">
        <f t="shared" ref="AA171:AA176" si="145">1/AB171</f>
        <v>0.42439024390243907</v>
      </c>
      <c r="AB171" s="61">
        <f t="shared" ref="AB171:AB176" si="146">X171/Y171</f>
        <v>2.3563218390804597</v>
      </c>
      <c r="AC171" s="411">
        <f>AB171/(((H171*I171)+(H176*I176))/SUM(I171+I176))</f>
        <v>0.15950151370163421</v>
      </c>
      <c r="AD171" s="748">
        <f>(AB171*V171*I170)</f>
        <v>0</v>
      </c>
      <c r="AE171" s="720"/>
      <c r="AF171" s="721"/>
      <c r="AG171" s="721"/>
      <c r="AH171" s="892"/>
      <c r="AI171" s="892"/>
      <c r="AJ171" s="721"/>
      <c r="AK171" s="721"/>
      <c r="AL171" s="721"/>
      <c r="AM171" s="721"/>
      <c r="AN171" s="721"/>
      <c r="AO171" s="721"/>
      <c r="AP171" s="722">
        <f>+AD171</f>
        <v>0</v>
      </c>
      <c r="AQ171" s="723"/>
      <c r="AR171" s="645">
        <f>V171*T170</f>
        <v>0</v>
      </c>
      <c r="AT171" s="212"/>
      <c r="AU171" s="212"/>
      <c r="AV171" s="212"/>
      <c r="AW171" s="212"/>
      <c r="AX171" s="212"/>
      <c r="AY171" s="212"/>
      <c r="AZ171" s="212"/>
      <c r="BA171" s="212"/>
    </row>
    <row r="172" spans="3:53" ht="15.75" customHeight="1" x14ac:dyDescent="0.25">
      <c r="C172" s="569" t="str">
        <f t="shared" si="140"/>
        <v>&lt; 5km</v>
      </c>
      <c r="D172" s="691">
        <f>(D32*(1+'Growth, Modal Shift, InfraCosts'!C25)^'Growth, Modal Shift, InfraCosts'!$D$4)*(1-'Growth, Modal Shift, InfraCosts'!R14)</f>
        <v>763.02109048456714</v>
      </c>
      <c r="E172" s="547">
        <f>D172/$D$196</f>
        <v>7.0281457939798814E-3</v>
      </c>
      <c r="F172" s="371">
        <f>(45+54)/2</f>
        <v>49.5</v>
      </c>
      <c r="G172" s="370">
        <v>0.26</v>
      </c>
      <c r="H172" s="828">
        <f>G172*F172</f>
        <v>12.870000000000001</v>
      </c>
      <c r="I172" s="691">
        <f t="shared" ref="I172:I176" si="147">D172/H172</f>
        <v>59.286798017448881</v>
      </c>
      <c r="J172" s="436">
        <f>I172/I196</f>
        <v>1.2589101647177885E-3</v>
      </c>
      <c r="K172" s="422">
        <f t="shared" si="141"/>
        <v>1.0488866750939407</v>
      </c>
      <c r="L172" s="370">
        <f>L32*$AV$7</f>
        <v>13.499171508459019</v>
      </c>
      <c r="M172" s="691">
        <f t="shared" si="143"/>
        <v>800.32265462491057</v>
      </c>
      <c r="N172" s="372">
        <f>M172/$M$196</f>
        <v>5.5359041979542844E-3</v>
      </c>
      <c r="O172" s="917" t="s">
        <v>74</v>
      </c>
      <c r="P172" s="912">
        <f>Q172*M170</f>
        <v>490.42441001187547</v>
      </c>
      <c r="Q172" s="913">
        <v>5.7500000000000002E-2</v>
      </c>
      <c r="R172" s="912">
        <f>S172*D170</f>
        <v>475.93128659800624</v>
      </c>
      <c r="S172" s="914">
        <f>Q172*Z173/(Q171*Z176+Q172*Z173)</f>
        <v>5.0982449727932463E-2</v>
      </c>
      <c r="T172" s="677">
        <f>S172*T170</f>
        <v>758.40599115104237</v>
      </c>
      <c r="U172" s="475" t="str">
        <f t="shared" si="139"/>
        <v>Fuel cell hybrid busses Syn-methanol</v>
      </c>
      <c r="V172" s="375">
        <f t="shared" si="144"/>
        <v>0</v>
      </c>
      <c r="W172" s="694"/>
      <c r="X172" s="61">
        <f>X171</f>
        <v>2.0499999999999998</v>
      </c>
      <c r="Y172" s="347">
        <f>Y160</f>
        <v>0.5</v>
      </c>
      <c r="Z172" s="61"/>
      <c r="AA172" s="61">
        <f t="shared" si="145"/>
        <v>0.24390243902439027</v>
      </c>
      <c r="AB172" s="61">
        <f t="shared" si="146"/>
        <v>4.0999999999999996</v>
      </c>
      <c r="AC172" s="411">
        <f t="shared" ref="AC172:AC180" si="148">AB172/((($H$171*$I$171)+($H$176*$I$176))/SUM($I$171+$I$176))</f>
        <v>0.27753263384084353</v>
      </c>
      <c r="AD172" s="748">
        <f t="shared" ref="AD172:AD180" si="149">(AB172*V172*$I$170)</f>
        <v>0</v>
      </c>
      <c r="AE172" s="720"/>
      <c r="AF172" s="721"/>
      <c r="AG172" s="721"/>
      <c r="AH172" s="722">
        <f>AD172</f>
        <v>0</v>
      </c>
      <c r="AI172" s="721"/>
      <c r="AJ172" s="721"/>
      <c r="AK172" s="721"/>
      <c r="AL172" s="721"/>
      <c r="AM172" s="721"/>
      <c r="AN172" s="721"/>
      <c r="AO172" s="721"/>
      <c r="AP172" s="721"/>
      <c r="AR172" s="645">
        <f>V172*T170</f>
        <v>0</v>
      </c>
      <c r="AT172" s="212"/>
      <c r="AU172" s="212"/>
      <c r="AV172" s="212"/>
      <c r="AW172" s="212"/>
      <c r="AX172" s="212"/>
      <c r="AY172" s="212"/>
      <c r="AZ172" s="212"/>
      <c r="BA172" s="212"/>
    </row>
    <row r="173" spans="3:53" ht="15.75" customHeight="1" x14ac:dyDescent="0.25">
      <c r="C173" s="569" t="str">
        <f t="shared" si="140"/>
        <v>5-25 km</v>
      </c>
      <c r="D173" s="691">
        <f>(D33*(1+'Growth, Modal Shift, InfraCosts'!C26)^'Growth, Modal Shift, InfraCosts'!$D$4)*(1-'Growth, Modal Shift, InfraCosts'!R14)
+'Growth, Modal Shift, InfraCosts'!R9*'Growth, Modal Shift, InfraCosts'!D10*'Scenarios technology'!D11
+'Growth, Modal Shift, InfraCosts'!R13*'Growth, Modal Shift, InfraCosts'!D16*'Scenarios technology'!D16</f>
        <v>4998.6388841697499</v>
      </c>
      <c r="E173" s="547">
        <f>D173/$D$196</f>
        <v>4.604219108424825E-2</v>
      </c>
      <c r="F173" s="371">
        <f>(45+54)/2</f>
        <v>49.5</v>
      </c>
      <c r="G173" s="376">
        <v>0.26</v>
      </c>
      <c r="H173" s="828">
        <f>G173*F173</f>
        <v>12.870000000000001</v>
      </c>
      <c r="I173" s="691">
        <f t="shared" si="147"/>
        <v>388.39462969461925</v>
      </c>
      <c r="J173" s="436">
        <f>I173/I196</f>
        <v>8.2472652191547275E-3</v>
      </c>
      <c r="K173" s="422">
        <f t="shared" si="141"/>
        <v>1.0488866750939407</v>
      </c>
      <c r="L173" s="376">
        <f>L33*$AV$7</f>
        <v>13.499171508459019</v>
      </c>
      <c r="M173" s="691">
        <f t="shared" si="143"/>
        <v>5243.0057192120948</v>
      </c>
      <c r="N173" s="372">
        <f>M173/$M$196</f>
        <v>3.6266344833744184E-2</v>
      </c>
      <c r="T173" s="756"/>
      <c r="U173" s="475" t="str">
        <f t="shared" si="139"/>
        <v>ICE Bio-methanol</v>
      </c>
      <c r="V173" s="375">
        <f t="shared" si="144"/>
        <v>0</v>
      </c>
      <c r="W173" s="694"/>
      <c r="X173" s="61">
        <v>2.0495999999999999</v>
      </c>
      <c r="Y173" s="347">
        <f>(Y33+Y313)/2</f>
        <v>0.22999999999999998</v>
      </c>
      <c r="Z173" s="61">
        <f>1/((AB173/37600)/0.84*1000)</f>
        <v>3.5442622950819671</v>
      </c>
      <c r="AA173" s="61">
        <f t="shared" si="145"/>
        <v>0.11221701795472287</v>
      </c>
      <c r="AB173" s="61">
        <f t="shared" si="146"/>
        <v>8.9113043478260874</v>
      </c>
      <c r="AC173" s="411">
        <f t="shared" si="148"/>
        <v>0.60321408941695964</v>
      </c>
      <c r="AD173" s="748">
        <f t="shared" si="149"/>
        <v>0</v>
      </c>
      <c r="AE173" s="720"/>
      <c r="AF173" s="721"/>
      <c r="AG173" s="721"/>
      <c r="AH173" s="892"/>
      <c r="AI173" s="722">
        <f>+AD173</f>
        <v>0</v>
      </c>
      <c r="AJ173" s="733"/>
      <c r="AK173" s="733"/>
      <c r="AL173" s="733"/>
      <c r="AM173" s="733"/>
      <c r="AN173" s="721"/>
      <c r="AO173" s="721"/>
      <c r="AP173" s="721"/>
      <c r="AQ173" s="723"/>
      <c r="AR173" s="645">
        <f>V173*T170</f>
        <v>0</v>
      </c>
      <c r="AT173" s="212"/>
      <c r="AU173" s="212"/>
      <c r="AV173" s="212"/>
      <c r="AW173" s="212"/>
      <c r="AX173" s="212"/>
      <c r="AY173" s="212"/>
      <c r="AZ173" s="212"/>
      <c r="BA173" s="212"/>
    </row>
    <row r="174" spans="3:53" ht="15.75" customHeight="1" x14ac:dyDescent="0.25">
      <c r="C174" s="569" t="str">
        <f t="shared" si="140"/>
        <v>25-50km</v>
      </c>
      <c r="D174" s="691">
        <f>(D34*(1+'Growth, Modal Shift, InfraCosts'!C27)^'Growth, Modal Shift, InfraCosts'!$D$4)*(1-'Growth, Modal Shift, InfraCosts'!R14)</f>
        <v>1090.8892066775479</v>
      </c>
      <c r="E174" s="547">
        <f>D174/$D$196</f>
        <v>1.00481211924822E-2</v>
      </c>
      <c r="F174" s="371">
        <f>(45+54)/2</f>
        <v>49.5</v>
      </c>
      <c r="G174" s="376">
        <v>0.26</v>
      </c>
      <c r="H174" s="828">
        <f>G174*F174</f>
        <v>12.870000000000001</v>
      </c>
      <c r="I174" s="691">
        <f t="shared" si="147"/>
        <v>84.762176121021582</v>
      </c>
      <c r="J174" s="436">
        <f>I174/I196</f>
        <v>1.7998604861565964E-3</v>
      </c>
      <c r="K174" s="422">
        <f t="shared" si="141"/>
        <v>1.0488866750939407</v>
      </c>
      <c r="L174" s="376">
        <f>L34*$AV$7</f>
        <v>13.499171508459019</v>
      </c>
      <c r="M174" s="691">
        <f t="shared" si="143"/>
        <v>1144.21915288788</v>
      </c>
      <c r="N174" s="372">
        <f>M174/$M$196</f>
        <v>7.9146673847692306E-3</v>
      </c>
      <c r="T174" s="756"/>
      <c r="U174" s="475" t="str">
        <f t="shared" si="139"/>
        <v>ICE Hybrid Bio-methanol</v>
      </c>
      <c r="V174" s="375">
        <f t="shared" si="144"/>
        <v>0</v>
      </c>
      <c r="W174" s="694"/>
      <c r="X174" s="61">
        <f>X175</f>
        <v>2.0495999999999999</v>
      </c>
      <c r="Y174" s="347">
        <f>Y155</f>
        <v>0.33345793601053042</v>
      </c>
      <c r="Z174" s="61">
        <f>1/((AB174/37600)/0.84*1000)</f>
        <v>5.1385321286868617</v>
      </c>
      <c r="AA174" s="61">
        <f t="shared" si="145"/>
        <v>0.1626941530106023</v>
      </c>
      <c r="AB174" s="61">
        <f t="shared" si="146"/>
        <v>6.1465023880411547</v>
      </c>
      <c r="AC174" s="411">
        <f t="shared" si="148"/>
        <v>0.41606219430782837</v>
      </c>
      <c r="AD174" s="748">
        <f t="shared" si="149"/>
        <v>0</v>
      </c>
      <c r="AE174" s="720"/>
      <c r="AF174" s="721"/>
      <c r="AG174" s="721"/>
      <c r="AH174" s="892"/>
      <c r="AI174" s="722">
        <f>+AD174</f>
        <v>0</v>
      </c>
      <c r="AJ174" s="721"/>
      <c r="AK174" s="721"/>
      <c r="AL174" s="721"/>
      <c r="AM174" s="721"/>
      <c r="AN174" s="721"/>
      <c r="AO174" s="721"/>
      <c r="AP174" s="721"/>
      <c r="AQ174" s="723"/>
      <c r="AR174" s="645">
        <f>V174*T170</f>
        <v>0</v>
      </c>
      <c r="AT174" s="212"/>
      <c r="AU174" s="212"/>
      <c r="AV174" s="212"/>
      <c r="AW174" s="212"/>
      <c r="AX174" s="212"/>
      <c r="AY174" s="212"/>
      <c r="AZ174" s="212"/>
      <c r="BA174" s="212"/>
    </row>
    <row r="175" spans="3:53" ht="15.75" customHeight="1" x14ac:dyDescent="0.25">
      <c r="C175" s="569" t="str">
        <f t="shared" si="140"/>
        <v>&gt;50 km</v>
      </c>
      <c r="D175" s="691">
        <f>(D35*(1+'Growth, Modal Shift, InfraCosts'!C28)^'Growth, Modal Shift, InfraCosts'!$D$4)*(1-'Growth, Modal Shift, InfraCosts'!R14)</f>
        <v>580.74907458794792</v>
      </c>
      <c r="E175" s="547">
        <f>D175/$D$196</f>
        <v>5.3492481621064038E-3</v>
      </c>
      <c r="F175" s="371">
        <f>(45+54)/2</f>
        <v>49.5</v>
      </c>
      <c r="G175" s="376">
        <v>0.26</v>
      </c>
      <c r="H175" s="828">
        <f>G175*F175</f>
        <v>12.870000000000001</v>
      </c>
      <c r="I175" s="691">
        <f t="shared" si="147"/>
        <v>45.124248219731768</v>
      </c>
      <c r="J175" s="436">
        <f>I175/I196</f>
        <v>9.58179167347674E-4</v>
      </c>
      <c r="K175" s="422">
        <f t="shared" si="141"/>
        <v>0.52444333754697037</v>
      </c>
      <c r="L175" s="376">
        <f>L35*$AV$7</f>
        <v>6.7495857542295097</v>
      </c>
      <c r="M175" s="691">
        <f t="shared" si="143"/>
        <v>304.56998295421783</v>
      </c>
      <c r="N175" s="372">
        <f>M175/$M$196</f>
        <v>2.106738123010318E-3</v>
      </c>
      <c r="O175" s="373"/>
      <c r="P175" s="691"/>
      <c r="Q175" s="436"/>
      <c r="R175" s="691"/>
      <c r="S175" s="374"/>
      <c r="T175" s="525"/>
      <c r="U175" s="475" t="str">
        <f t="shared" si="139"/>
        <v>ICE Hybrid Diesel</v>
      </c>
      <c r="V175" s="375">
        <f t="shared" si="144"/>
        <v>0</v>
      </c>
      <c r="W175" s="694">
        <f>AB175*74</f>
        <v>454.84117671504544</v>
      </c>
      <c r="X175" s="61">
        <f>X176</f>
        <v>2.0495999999999999</v>
      </c>
      <c r="Y175" s="347">
        <f>Y149</f>
        <v>0.33345793601053042</v>
      </c>
      <c r="Z175" s="61">
        <f>1/((AB175/42700)/0.84*1000)</f>
        <v>5.8355138801842843</v>
      </c>
      <c r="AA175" s="61">
        <f t="shared" si="145"/>
        <v>0.1626941530106023</v>
      </c>
      <c r="AB175" s="61">
        <f t="shared" si="146"/>
        <v>6.1465023880411547</v>
      </c>
      <c r="AC175" s="411">
        <f t="shared" si="148"/>
        <v>0.41606219430782837</v>
      </c>
      <c r="AD175" s="748">
        <f t="shared" si="149"/>
        <v>0</v>
      </c>
      <c r="AE175" s="720"/>
      <c r="AF175" s="722">
        <f>AD175</f>
        <v>0</v>
      </c>
      <c r="AG175" s="721"/>
      <c r="AH175" s="892"/>
      <c r="AI175" s="721"/>
      <c r="AJ175" s="721"/>
      <c r="AK175" s="721"/>
      <c r="AL175" s="721"/>
      <c r="AM175" s="721"/>
      <c r="AN175" s="721"/>
      <c r="AO175" s="721"/>
      <c r="AP175" s="721"/>
      <c r="AQ175" s="723"/>
      <c r="AR175" s="645">
        <f>V175*T170</f>
        <v>0</v>
      </c>
      <c r="AT175" s="212"/>
      <c r="AU175" s="212"/>
      <c r="AV175" s="212"/>
      <c r="AW175" s="212"/>
      <c r="AX175" s="212"/>
      <c r="AY175" s="212"/>
      <c r="AZ175" s="212"/>
      <c r="BA175" s="212"/>
    </row>
    <row r="176" spans="3:53" ht="15.75" customHeight="1" thickBot="1" x14ac:dyDescent="0.3">
      <c r="C176" s="568" t="str">
        <f t="shared" si="140"/>
        <v>International bus</v>
      </c>
      <c r="D176" s="538">
        <f>(D36*(1+'Growth, Modal Shift, InfraCosts'!C29)^'Growth, Modal Shift, InfraCosts'!$D$4)</f>
        <v>1901.9002121375415</v>
      </c>
      <c r="E176" s="547">
        <f>D176/D196</f>
        <v>1.7518299485031422E-2</v>
      </c>
      <c r="F176" s="55">
        <v>50</v>
      </c>
      <c r="G176" s="379">
        <v>0.7</v>
      </c>
      <c r="H176" s="821">
        <f>G176*F176</f>
        <v>35</v>
      </c>
      <c r="I176" s="694">
        <f t="shared" si="147"/>
        <v>54.340006061072614</v>
      </c>
      <c r="J176" s="358">
        <f>I176/I196</f>
        <v>1.1538687915136998E-3</v>
      </c>
      <c r="K176" s="557">
        <f t="shared" si="141"/>
        <v>0.54524556957432735</v>
      </c>
      <c r="L176" s="379">
        <f>L36*$AV$7</f>
        <v>19.083594935101456</v>
      </c>
      <c r="M176" s="538">
        <f t="shared" si="143"/>
        <v>1037.0026644404679</v>
      </c>
      <c r="N176" s="365">
        <f>M176/$M$196</f>
        <v>7.1730412355455516E-3</v>
      </c>
      <c r="O176" s="373"/>
      <c r="P176" s="691"/>
      <c r="Q176" s="436"/>
      <c r="R176" s="691"/>
      <c r="S176" s="374"/>
      <c r="T176" s="525"/>
      <c r="U176" s="475" t="str">
        <f t="shared" si="139"/>
        <v>ICE Diesel</v>
      </c>
      <c r="V176" s="375">
        <f t="shared" si="144"/>
        <v>0</v>
      </c>
      <c r="W176" s="694">
        <f>AB176*74</f>
        <v>659.43652173913051</v>
      </c>
      <c r="X176" s="61">
        <v>2.0495999999999999</v>
      </c>
      <c r="Y176" s="347">
        <f>(Y36+Y316)/2</f>
        <v>0.22999999999999998</v>
      </c>
      <c r="Z176" s="61">
        <f>1/((AB176/42700)/0.84*1000)</f>
        <v>4.0250000000000004</v>
      </c>
      <c r="AA176" s="61">
        <f t="shared" si="145"/>
        <v>0.11221701795472287</v>
      </c>
      <c r="AB176" s="61">
        <f t="shared" si="146"/>
        <v>8.9113043478260874</v>
      </c>
      <c r="AC176" s="411">
        <f t="shared" si="148"/>
        <v>0.60321408941695964</v>
      </c>
      <c r="AD176" s="748">
        <f t="shared" si="149"/>
        <v>0</v>
      </c>
      <c r="AE176" s="720"/>
      <c r="AF176" s="722">
        <f>AD176</f>
        <v>0</v>
      </c>
      <c r="AG176" s="721"/>
      <c r="AH176" s="892"/>
      <c r="AI176" s="733"/>
      <c r="AJ176" s="733"/>
      <c r="AK176" s="733"/>
      <c r="AL176" s="733"/>
      <c r="AM176" s="733"/>
      <c r="AN176" s="721"/>
      <c r="AO176" s="721"/>
      <c r="AP176" s="721"/>
      <c r="AQ176" s="723"/>
      <c r="AR176" s="645">
        <f>V176*T170</f>
        <v>0</v>
      </c>
      <c r="AT176" s="894"/>
      <c r="AU176" s="894"/>
      <c r="AV176" s="894"/>
      <c r="AW176" s="894"/>
      <c r="AX176" s="894"/>
      <c r="AY176" s="894"/>
      <c r="AZ176" s="212"/>
      <c r="BA176" s="212"/>
    </row>
    <row r="177" spans="3:53" ht="15.75" customHeight="1" x14ac:dyDescent="0.25">
      <c r="C177" s="568"/>
      <c r="D177" s="538"/>
      <c r="E177" s="547"/>
      <c r="F177" s="55"/>
      <c r="G177" s="363"/>
      <c r="H177" s="821"/>
      <c r="I177" s="694"/>
      <c r="J177" s="358"/>
      <c r="K177" s="557"/>
      <c r="L177" s="363"/>
      <c r="M177" s="538"/>
      <c r="N177" s="365"/>
      <c r="O177" s="373"/>
      <c r="P177" s="691"/>
      <c r="Q177" s="436"/>
      <c r="R177" s="691"/>
      <c r="S177" s="374"/>
      <c r="T177" s="525"/>
      <c r="U177" s="475" t="s">
        <v>483</v>
      </c>
      <c r="V177" s="375">
        <f t="shared" si="144"/>
        <v>0</v>
      </c>
      <c r="W177" s="694"/>
      <c r="X177" s="61">
        <f t="shared" ref="X177:AC177" si="150">X176</f>
        <v>2.0495999999999999</v>
      </c>
      <c r="Y177" s="362">
        <f t="shared" si="150"/>
        <v>0.22999999999999998</v>
      </c>
      <c r="Z177" s="61">
        <f t="shared" si="150"/>
        <v>4.0250000000000004</v>
      </c>
      <c r="AA177" s="61">
        <f t="shared" si="150"/>
        <v>0.11221701795472287</v>
      </c>
      <c r="AB177" s="61">
        <f t="shared" si="150"/>
        <v>8.9113043478260874</v>
      </c>
      <c r="AC177" s="61">
        <f t="shared" si="150"/>
        <v>0.60321408941695964</v>
      </c>
      <c r="AD177" s="748">
        <f>(AB177*V177*$I$170)</f>
        <v>0</v>
      </c>
      <c r="AE177" s="720"/>
      <c r="AF177" s="721"/>
      <c r="AG177" s="721"/>
      <c r="AH177" s="741"/>
      <c r="AI177" s="733"/>
      <c r="AJ177" s="733"/>
      <c r="AK177" s="738">
        <f>AD177</f>
        <v>0</v>
      </c>
      <c r="AL177" s="733"/>
      <c r="AM177" s="733"/>
      <c r="AN177" s="721"/>
      <c r="AO177" s="721"/>
      <c r="AP177" s="721"/>
      <c r="AQ177" s="723"/>
      <c r="AR177" s="645">
        <f>V177*T170</f>
        <v>0</v>
      </c>
      <c r="AT177" s="1526"/>
      <c r="AU177" s="1526"/>
      <c r="AV177" s="1526"/>
      <c r="AW177" s="1526"/>
      <c r="AX177" s="1526"/>
      <c r="AY177" s="1526"/>
      <c r="AZ177" s="894"/>
      <c r="BA177" s="894"/>
    </row>
    <row r="178" spans="3:53" ht="15.75" customHeight="1" x14ac:dyDescent="0.25">
      <c r="C178" s="568"/>
      <c r="D178" s="538"/>
      <c r="E178" s="547"/>
      <c r="F178" s="55"/>
      <c r="G178" s="363"/>
      <c r="H178" s="821"/>
      <c r="I178" s="694"/>
      <c r="J178" s="358"/>
      <c r="K178" s="557"/>
      <c r="L178" s="363"/>
      <c r="M178" s="538"/>
      <c r="N178" s="365"/>
      <c r="O178" s="373"/>
      <c r="P178" s="691"/>
      <c r="Q178" s="436"/>
      <c r="R178" s="691"/>
      <c r="S178" s="374"/>
      <c r="T178" s="525"/>
      <c r="U178" s="475" t="str">
        <f>U38</f>
        <v>ICE Syn-methanol</v>
      </c>
      <c r="V178" s="375">
        <f t="shared" si="144"/>
        <v>0</v>
      </c>
      <c r="W178" s="694"/>
      <c r="X178" s="61">
        <f t="shared" ref="X178:AC178" si="151">X176</f>
        <v>2.0495999999999999</v>
      </c>
      <c r="Y178" s="362">
        <f t="shared" si="151"/>
        <v>0.22999999999999998</v>
      </c>
      <c r="Z178" s="61">
        <f t="shared" si="151"/>
        <v>4.0250000000000004</v>
      </c>
      <c r="AA178" s="61">
        <f t="shared" si="151"/>
        <v>0.11221701795472287</v>
      </c>
      <c r="AB178" s="61">
        <f t="shared" si="151"/>
        <v>8.9113043478260874</v>
      </c>
      <c r="AC178" s="61">
        <f t="shared" si="151"/>
        <v>0.60321408941695964</v>
      </c>
      <c r="AD178" s="748">
        <f t="shared" si="149"/>
        <v>0</v>
      </c>
      <c r="AE178" s="720"/>
      <c r="AF178" s="721"/>
      <c r="AG178" s="721"/>
      <c r="AH178" s="722">
        <f>AD178</f>
        <v>0</v>
      </c>
      <c r="AI178" s="733"/>
      <c r="AJ178" s="733"/>
      <c r="AK178" s="733"/>
      <c r="AL178" s="733"/>
      <c r="AM178" s="733"/>
      <c r="AN178" s="721"/>
      <c r="AO178" s="721"/>
      <c r="AP178" s="721"/>
      <c r="AQ178" s="723"/>
      <c r="AR178" s="645">
        <f>V178*T170</f>
        <v>0</v>
      </c>
      <c r="AT178" s="894"/>
      <c r="AU178" s="894"/>
      <c r="AV178" s="894"/>
      <c r="AW178" s="894"/>
      <c r="AX178" s="894"/>
      <c r="AY178" s="894"/>
      <c r="AZ178" s="1526"/>
      <c r="BA178" s="1526"/>
    </row>
    <row r="179" spans="3:53" ht="15.75" customHeight="1" thickBot="1" x14ac:dyDescent="0.3">
      <c r="C179" s="568"/>
      <c r="D179" s="538"/>
      <c r="E179" s="547"/>
      <c r="F179" s="55"/>
      <c r="G179" s="363"/>
      <c r="H179" s="821"/>
      <c r="I179" s="694"/>
      <c r="J179" s="358"/>
      <c r="K179" s="557"/>
      <c r="L179" s="363"/>
      <c r="M179" s="538"/>
      <c r="N179" s="365"/>
      <c r="O179" s="373"/>
      <c r="P179" s="691"/>
      <c r="Q179" s="436"/>
      <c r="R179" s="691"/>
      <c r="S179" s="374"/>
      <c r="T179" s="525"/>
      <c r="U179" s="475" t="str">
        <f>U39</f>
        <v>ICE Hybrid Syn-methanol</v>
      </c>
      <c r="V179" s="295">
        <f t="shared" si="144"/>
        <v>0</v>
      </c>
      <c r="W179" s="694"/>
      <c r="X179" s="61">
        <f t="shared" ref="X179:AC179" si="152">X175</f>
        <v>2.0495999999999999</v>
      </c>
      <c r="Y179" s="362">
        <f t="shared" si="152"/>
        <v>0.33345793601053042</v>
      </c>
      <c r="Z179" s="61">
        <f t="shared" si="152"/>
        <v>5.8355138801842843</v>
      </c>
      <c r="AA179" s="61">
        <f t="shared" si="152"/>
        <v>0.1626941530106023</v>
      </c>
      <c r="AB179" s="61">
        <f t="shared" si="152"/>
        <v>6.1465023880411547</v>
      </c>
      <c r="AC179" s="61">
        <f t="shared" si="152"/>
        <v>0.41606219430782837</v>
      </c>
      <c r="AD179" s="748">
        <f t="shared" si="149"/>
        <v>0</v>
      </c>
      <c r="AE179" s="720"/>
      <c r="AF179" s="721"/>
      <c r="AG179" s="721"/>
      <c r="AH179" s="722">
        <f>AD179</f>
        <v>0</v>
      </c>
      <c r="AI179" s="733"/>
      <c r="AJ179" s="733"/>
      <c r="AK179" s="733"/>
      <c r="AL179" s="733"/>
      <c r="AM179" s="733"/>
      <c r="AN179" s="721"/>
      <c r="AO179" s="721"/>
      <c r="AP179" s="721"/>
      <c r="AQ179" s="723"/>
      <c r="AR179" s="645">
        <f>V179*T170</f>
        <v>0</v>
      </c>
      <c r="AT179" s="212"/>
      <c r="AU179" s="212"/>
      <c r="AV179" s="212"/>
      <c r="AW179" s="212"/>
      <c r="AX179" s="212"/>
      <c r="AY179" s="212"/>
      <c r="AZ179" s="894"/>
      <c r="BA179" s="894"/>
    </row>
    <row r="180" spans="3:53" ht="15.75" customHeight="1" x14ac:dyDescent="0.25">
      <c r="C180" s="570"/>
      <c r="D180" s="695"/>
      <c r="E180" s="550"/>
      <c r="F180" s="384"/>
      <c r="G180" s="384"/>
      <c r="H180" s="830"/>
      <c r="I180" s="705"/>
      <c r="J180" s="458"/>
      <c r="K180" s="559"/>
      <c r="L180" s="408"/>
      <c r="M180" s="695"/>
      <c r="N180" s="409"/>
      <c r="O180" s="405"/>
      <c r="P180" s="532"/>
      <c r="Q180" s="417"/>
      <c r="R180" s="532"/>
      <c r="S180" s="366"/>
      <c r="T180" s="527"/>
      <c r="U180" s="477" t="str">
        <f>U40</f>
        <v>No shift in technology / ICE Diesel</v>
      </c>
      <c r="V180" s="412">
        <f>1-SUM(V171:V179)</f>
        <v>1</v>
      </c>
      <c r="W180" s="705">
        <f>AB180*74</f>
        <v>998.80842559658447</v>
      </c>
      <c r="X180" s="406"/>
      <c r="Y180" s="406"/>
      <c r="Z180" s="406"/>
      <c r="AA180" s="406"/>
      <c r="AB180" s="406">
        <f>((I171*L171)+(I176*L176))/SUM(I171+I176)</f>
        <v>13.497411156710601</v>
      </c>
      <c r="AC180" s="406">
        <f t="shared" si="148"/>
        <v>0.91365172398894634</v>
      </c>
      <c r="AD180" s="747">
        <f t="shared" si="149"/>
        <v>8529.1201741195728</v>
      </c>
      <c r="AE180" s="734"/>
      <c r="AF180" s="729">
        <f>+AD180*Q171</f>
        <v>8038.695764107697</v>
      </c>
      <c r="AG180" s="730"/>
      <c r="AH180" s="730"/>
      <c r="AI180" s="893"/>
      <c r="AJ180" s="735"/>
      <c r="AK180" s="907">
        <f>AD180*Q172</f>
        <v>490.42441001187547</v>
      </c>
      <c r="AL180" s="735"/>
      <c r="AM180" s="735"/>
      <c r="AN180" s="730"/>
      <c r="AO180" s="730"/>
      <c r="AP180" s="730"/>
      <c r="AQ180" s="731"/>
      <c r="AR180" s="648">
        <f>T170-SUM(V171:V179)*T170</f>
        <v>14875.824822037219</v>
      </c>
      <c r="AT180" s="212"/>
      <c r="AU180" s="212"/>
      <c r="AV180" s="212"/>
      <c r="AW180" s="212"/>
      <c r="AX180" s="212"/>
      <c r="AY180" s="212"/>
      <c r="AZ180" s="212"/>
      <c r="BA180" s="212"/>
    </row>
    <row r="181" spans="3:53" ht="15.75" customHeight="1" x14ac:dyDescent="0.25">
      <c r="C181" s="571" t="str">
        <f t="shared" ref="C181:C193" si="153">C41</f>
        <v>Bicycle/walking</v>
      </c>
      <c r="D181" s="693">
        <f>SUM(D182:D185)</f>
        <v>3247.9975610926463</v>
      </c>
      <c r="E181" s="392">
        <f t="shared" ref="E181:E186" si="154">D181/$D$196</f>
        <v>2.9917129005376953E-2</v>
      </c>
      <c r="F181" s="56">
        <f t="shared" ref="F181:G185" si="155">F41</f>
        <v>1</v>
      </c>
      <c r="G181" s="355">
        <f t="shared" si="155"/>
        <v>1</v>
      </c>
      <c r="H181" s="826">
        <f>G181*F181</f>
        <v>1</v>
      </c>
      <c r="I181" s="693">
        <f>D181/H181</f>
        <v>3247.9975610926463</v>
      </c>
      <c r="J181" s="540">
        <f>I181/$I$196</f>
        <v>6.8968763390370502E-2</v>
      </c>
      <c r="K181" s="552">
        <f>K41</f>
        <v>0</v>
      </c>
      <c r="L181" s="352"/>
      <c r="M181" s="693">
        <f>K181*D181</f>
        <v>0</v>
      </c>
      <c r="N181" s="413">
        <f>M181/$M$196</f>
        <v>0</v>
      </c>
      <c r="O181" s="682" t="s">
        <v>60</v>
      </c>
      <c r="P181" s="759"/>
      <c r="Q181" s="801"/>
      <c r="R181" s="759">
        <f>SUM(R182)</f>
        <v>3247.9975610926463</v>
      </c>
      <c r="S181" s="797">
        <f>SUM(S182)</f>
        <v>1</v>
      </c>
      <c r="T181" s="680"/>
      <c r="U181" s="64"/>
      <c r="V181" s="410"/>
      <c r="W181" s="532"/>
      <c r="X181" s="405"/>
      <c r="Y181" s="405"/>
      <c r="Z181" s="405"/>
      <c r="AA181" s="405"/>
      <c r="AB181" s="405"/>
      <c r="AC181" s="405"/>
      <c r="AD181" s="751"/>
      <c r="AE181" s="736"/>
      <c r="AF181" s="733"/>
      <c r="AG181" s="721"/>
      <c r="AH181" s="733"/>
      <c r="AI181" s="733"/>
      <c r="AJ181" s="733"/>
      <c r="AK181" s="733"/>
      <c r="AL181" s="733"/>
      <c r="AM181" s="733"/>
      <c r="AN181" s="721"/>
      <c r="AO181" s="721"/>
      <c r="AP181" s="721"/>
      <c r="AQ181" s="723"/>
      <c r="AR181" s="649"/>
      <c r="AT181" s="212"/>
      <c r="AU181" s="212"/>
      <c r="AV181" s="212"/>
      <c r="AW181" s="212"/>
      <c r="AX181" s="212"/>
      <c r="AY181" s="212"/>
      <c r="AZ181" s="212"/>
      <c r="BA181" s="212"/>
    </row>
    <row r="182" spans="3:53" ht="15.75" customHeight="1" x14ac:dyDescent="0.25">
      <c r="C182" s="569" t="str">
        <f t="shared" si="153"/>
        <v>&lt; 5km</v>
      </c>
      <c r="D182" s="691">
        <f>(D42*(1+'Growth, Modal Shift, InfraCosts'!C31)^'Growth, Modal Shift, InfraCosts'!$D$4)</f>
        <v>1808.6659086072461</v>
      </c>
      <c r="E182" s="547">
        <f t="shared" si="154"/>
        <v>1.665952338253214E-2</v>
      </c>
      <c r="F182" s="371">
        <f t="shared" si="155"/>
        <v>1</v>
      </c>
      <c r="G182" s="373">
        <f t="shared" si="155"/>
        <v>1</v>
      </c>
      <c r="H182" s="828">
        <f>G182*F182</f>
        <v>1</v>
      </c>
      <c r="I182" s="691">
        <f>D182/H182</f>
        <v>1808.6659086072461</v>
      </c>
      <c r="J182" s="417">
        <f>I182/$I$196</f>
        <v>3.8405648020560353E-2</v>
      </c>
      <c r="K182" s="422">
        <f>K42</f>
        <v>0</v>
      </c>
      <c r="L182" s="369"/>
      <c r="M182" s="691">
        <f>K182*D182</f>
        <v>0</v>
      </c>
      <c r="N182" s="372">
        <f>M182/$M$196</f>
        <v>0</v>
      </c>
      <c r="O182" s="450" t="s">
        <v>9</v>
      </c>
      <c r="P182" s="532"/>
      <c r="Q182" s="436"/>
      <c r="R182" s="532">
        <f>D181</f>
        <v>3247.9975610926463</v>
      </c>
      <c r="S182" s="367">
        <v>1</v>
      </c>
      <c r="T182" s="525"/>
      <c r="U182" s="475"/>
      <c r="V182" s="377"/>
      <c r="W182" s="691"/>
      <c r="X182" s="373"/>
      <c r="Y182" s="373"/>
      <c r="Z182" s="373"/>
      <c r="AA182" s="373"/>
      <c r="AB182" s="373"/>
      <c r="AC182" s="373"/>
      <c r="AD182" s="754"/>
      <c r="AE182" s="736"/>
      <c r="AF182" s="733"/>
      <c r="AG182" s="733"/>
      <c r="AH182" s="733"/>
      <c r="AI182" s="733"/>
      <c r="AJ182" s="733"/>
      <c r="AK182" s="733"/>
      <c r="AL182" s="733"/>
      <c r="AM182" s="733"/>
      <c r="AN182" s="721"/>
      <c r="AO182" s="721"/>
      <c r="AP182" s="721"/>
      <c r="AQ182" s="723"/>
      <c r="AR182" s="650"/>
      <c r="AT182" s="212"/>
      <c r="AU182" s="212"/>
      <c r="AV182" s="212"/>
      <c r="AW182" s="212"/>
      <c r="AX182" s="212"/>
      <c r="AY182" s="212"/>
      <c r="AZ182" s="212"/>
      <c r="BA182" s="212"/>
    </row>
    <row r="183" spans="3:53" ht="15.75" customHeight="1" x14ac:dyDescent="0.25">
      <c r="C183" s="569" t="str">
        <f t="shared" si="153"/>
        <v>5-25 km</v>
      </c>
      <c r="D183" s="691">
        <f>(D43*(1+'Growth, Modal Shift, InfraCosts'!C32)^'Growth, Modal Shift, InfraCosts'!$D$4)+
'Growth, Modal Shift, InfraCosts'!R10*(D13*'Growth, Modal Shift, InfraCosts'!D13+D14*'Growth, Modal Shift, InfraCosts'!D14)
+'Growth, Modal Shift, InfraCosts'!R6*(D8*'Growth, Modal Shift, InfraCosts'!D8+D9*'Growth, Modal Shift, InfraCosts'!D9)
+'Growth, Modal Shift, InfraCosts'!R7*(D10*'Growth, Modal Shift, InfraCosts'!D10+D11*'Growth, Modal Shift, InfraCosts'!D11)
+'Growth, Modal Shift, InfraCosts'!R11*(D15*'Growth, Modal Shift, InfraCosts'!D15+D16*'Growth, Modal Shift, InfraCosts'!D16)
+'Growth, Modal Shift, InfraCosts'!R14*(D32*'Growth, Modal Shift, InfraCosts'!D25+'Growth, Modal Shift, InfraCosts'!D26*'Scenarios technology'!D33+'Scenarios technology'!D34*'Growth, Modal Shift, InfraCosts'!D27+'Growth, Modal Shift, InfraCosts'!D28*'Scenarios technology'!D35)</f>
        <v>1309.0739245127879</v>
      </c>
      <c r="E183" s="547">
        <f t="shared" si="154"/>
        <v>1.2057808770043917E-2</v>
      </c>
      <c r="F183" s="371">
        <f t="shared" si="155"/>
        <v>1</v>
      </c>
      <c r="G183" s="373">
        <f t="shared" si="155"/>
        <v>1</v>
      </c>
      <c r="H183" s="828">
        <f>G183*F183</f>
        <v>1</v>
      </c>
      <c r="I183" s="691">
        <f>D183/H183</f>
        <v>1309.0739245127879</v>
      </c>
      <c r="J183" s="417">
        <f>I183/$I$196</f>
        <v>2.7797191365455862E-2</v>
      </c>
      <c r="K183" s="422">
        <f>K43</f>
        <v>0</v>
      </c>
      <c r="L183" s="369"/>
      <c r="M183" s="691">
        <f>K183*D183</f>
        <v>0</v>
      </c>
      <c r="N183" s="372">
        <f>M183/$M$196</f>
        <v>0</v>
      </c>
      <c r="T183" s="525"/>
      <c r="U183" s="475"/>
      <c r="V183" s="377"/>
      <c r="W183" s="691"/>
      <c r="X183" s="373"/>
      <c r="Y183" s="373"/>
      <c r="Z183" s="373"/>
      <c r="AA183" s="373"/>
      <c r="AB183" s="373"/>
      <c r="AC183" s="373"/>
      <c r="AD183" s="754"/>
      <c r="AE183" s="736"/>
      <c r="AF183" s="733"/>
      <c r="AG183" s="733"/>
      <c r="AH183" s="733"/>
      <c r="AI183" s="733"/>
      <c r="AJ183" s="733"/>
      <c r="AK183" s="733"/>
      <c r="AL183" s="733"/>
      <c r="AM183" s="733"/>
      <c r="AN183" s="721"/>
      <c r="AO183" s="721"/>
      <c r="AP183" s="721"/>
      <c r="AQ183" s="723"/>
      <c r="AR183" s="650"/>
      <c r="AT183" s="212"/>
      <c r="AU183" s="212"/>
      <c r="AV183" s="212"/>
      <c r="AW183" s="212"/>
      <c r="AX183" s="212"/>
      <c r="AY183" s="212"/>
      <c r="AZ183" s="212"/>
      <c r="BA183" s="212"/>
    </row>
    <row r="184" spans="3:53" ht="15.75" customHeight="1" x14ac:dyDescent="0.25">
      <c r="C184" s="569" t="str">
        <f t="shared" si="153"/>
        <v>25-50km</v>
      </c>
      <c r="D184" s="691">
        <f>(D44*(1+'Growth, Modal Shift, InfraCosts'!C33)^'Growth, Modal Shift, InfraCosts'!$D$4)</f>
        <v>104.92081330462295</v>
      </c>
      <c r="E184" s="547">
        <f t="shared" si="154"/>
        <v>9.6641990886456211E-4</v>
      </c>
      <c r="F184" s="371">
        <f t="shared" si="155"/>
        <v>1</v>
      </c>
      <c r="G184" s="373">
        <f t="shared" si="155"/>
        <v>1</v>
      </c>
      <c r="H184" s="828">
        <f>G184*F184</f>
        <v>1</v>
      </c>
      <c r="I184" s="691">
        <f>D184/H184</f>
        <v>104.92081330462295</v>
      </c>
      <c r="J184" s="417">
        <f>I184/$I$196</f>
        <v>2.2279138488938569E-3</v>
      </c>
      <c r="K184" s="422">
        <f>K44</f>
        <v>0</v>
      </c>
      <c r="L184" s="369"/>
      <c r="M184" s="691">
        <f>K184*D184</f>
        <v>0</v>
      </c>
      <c r="N184" s="372">
        <f>M184/$M$196</f>
        <v>0</v>
      </c>
      <c r="O184" s="373"/>
      <c r="P184" s="691"/>
      <c r="Q184" s="436"/>
      <c r="R184" s="691"/>
      <c r="S184" s="374"/>
      <c r="T184" s="525"/>
      <c r="U184" s="475"/>
      <c r="V184" s="377"/>
      <c r="W184" s="691"/>
      <c r="X184" s="373"/>
      <c r="Y184" s="373"/>
      <c r="Z184" s="373"/>
      <c r="AA184" s="373"/>
      <c r="AB184" s="373"/>
      <c r="AC184" s="373"/>
      <c r="AD184" s="754"/>
      <c r="AE184" s="736"/>
      <c r="AF184" s="733"/>
      <c r="AG184" s="733"/>
      <c r="AH184" s="733"/>
      <c r="AI184" s="733"/>
      <c r="AJ184" s="733"/>
      <c r="AK184" s="733"/>
      <c r="AL184" s="733"/>
      <c r="AM184" s="733"/>
      <c r="AN184" s="721"/>
      <c r="AO184" s="721"/>
      <c r="AP184" s="721"/>
      <c r="AQ184" s="723"/>
      <c r="AR184" s="650"/>
      <c r="AT184" s="212"/>
      <c r="AU184" s="212"/>
      <c r="AV184" s="212"/>
      <c r="AW184" s="212"/>
      <c r="AX184" s="212"/>
      <c r="AY184" s="212"/>
      <c r="AZ184" s="212"/>
      <c r="BA184" s="212"/>
    </row>
    <row r="185" spans="3:53" ht="15.75" customHeight="1" x14ac:dyDescent="0.25">
      <c r="C185" s="570" t="str">
        <f t="shared" si="153"/>
        <v>&gt;50 km</v>
      </c>
      <c r="D185" s="691">
        <f>(D45*(1+'Growth, Modal Shift, InfraCosts'!C34)^'Growth, Modal Shift, InfraCosts'!$D$4)</f>
        <v>25.33691466798944</v>
      </c>
      <c r="E185" s="550">
        <f t="shared" si="154"/>
        <v>2.3337694393633386E-4</v>
      </c>
      <c r="F185" s="371">
        <f t="shared" si="155"/>
        <v>1</v>
      </c>
      <c r="G185" s="388">
        <f t="shared" si="155"/>
        <v>1</v>
      </c>
      <c r="H185" s="825">
        <f>G185*F185</f>
        <v>1</v>
      </c>
      <c r="I185" s="691">
        <f>D185/H185</f>
        <v>25.33691466798944</v>
      </c>
      <c r="J185" s="458">
        <f>I185/$I$196</f>
        <v>5.3801015546043598E-4</v>
      </c>
      <c r="K185" s="422">
        <f>K45</f>
        <v>0</v>
      </c>
      <c r="L185" s="369"/>
      <c r="M185" s="691">
        <f>K185*D185</f>
        <v>0</v>
      </c>
      <c r="N185" s="372">
        <f>M185/$M$196</f>
        <v>0</v>
      </c>
      <c r="O185" s="388"/>
      <c r="P185" s="695"/>
      <c r="Q185" s="443"/>
      <c r="R185" s="695"/>
      <c r="S185" s="445"/>
      <c r="T185" s="525"/>
      <c r="U185" s="626"/>
      <c r="V185" s="377"/>
      <c r="W185" s="691"/>
      <c r="X185" s="373"/>
      <c r="Y185" s="373"/>
      <c r="Z185" s="373"/>
      <c r="AA185" s="373"/>
      <c r="AB185" s="373"/>
      <c r="AC185" s="373"/>
      <c r="AD185" s="754"/>
      <c r="AE185" s="737"/>
      <c r="AF185" s="735"/>
      <c r="AG185" s="735"/>
      <c r="AH185" s="735"/>
      <c r="AI185" s="735"/>
      <c r="AJ185" s="735"/>
      <c r="AK185" s="735"/>
      <c r="AL185" s="735"/>
      <c r="AM185" s="735"/>
      <c r="AN185" s="730"/>
      <c r="AO185" s="730"/>
      <c r="AP185" s="730"/>
      <c r="AQ185" s="731"/>
      <c r="AR185" s="650"/>
      <c r="AT185" s="212"/>
      <c r="AU185" s="212"/>
      <c r="AV185" s="212"/>
      <c r="AW185" s="212"/>
      <c r="AX185" s="212"/>
      <c r="AY185" s="212"/>
      <c r="AZ185" s="212"/>
      <c r="BA185" s="212"/>
    </row>
    <row r="186" spans="3:53" ht="15.75" customHeight="1" thickBot="1" x14ac:dyDescent="0.3">
      <c r="C186" s="571" t="str">
        <f t="shared" si="153"/>
        <v>Air</v>
      </c>
      <c r="D186" s="693">
        <f>D188+D187</f>
        <v>23081.162329105435</v>
      </c>
      <c r="E186" s="392">
        <f t="shared" si="154"/>
        <v>0.21259933174383239</v>
      </c>
      <c r="F186" s="1321">
        <f>((F187*I187)+(F188*I188))/(I187+I188)</f>
        <v>176.78533007620885</v>
      </c>
      <c r="G186" s="1320">
        <f>H186/F186</f>
        <v>0.84023156688112399</v>
      </c>
      <c r="H186" s="1321">
        <f>((H187*I187)+(H188*I188))/(I187+I188)</f>
        <v>148.54061489152966</v>
      </c>
      <c r="I186" s="759">
        <f>I188+I187</f>
        <v>155.38620427793589</v>
      </c>
      <c r="J186" s="795">
        <f>J188+J187</f>
        <v>3.2995081293618776E-3</v>
      </c>
      <c r="K186" s="1324">
        <f t="shared" ref="K186:K193" si="156">L186/H186</f>
        <v>1.4474747739230494</v>
      </c>
      <c r="L186" s="1319">
        <f>((L187*I187)+(L188*I188))/(I187+I188)</f>
        <v>215.00879295850763</v>
      </c>
      <c r="M186" s="693">
        <f>M188+M187</f>
        <v>33409.400224203091</v>
      </c>
      <c r="N186" s="413">
        <f>N188+N187</f>
        <v>0.23109584351199242</v>
      </c>
      <c r="O186" s="682" t="s">
        <v>60</v>
      </c>
      <c r="P186" s="759">
        <f>SUM(P187:P188)</f>
        <v>33409.400224203091</v>
      </c>
      <c r="Q186" s="801">
        <f>Q187+Q188</f>
        <v>1</v>
      </c>
      <c r="R186" s="759">
        <f>SUM(R187:R188)</f>
        <v>23081.162329105435</v>
      </c>
      <c r="S186" s="797">
        <f>SUM(S187:S188)</f>
        <v>1</v>
      </c>
      <c r="T186" s="680"/>
      <c r="U186" s="479" t="str">
        <f>U46</f>
        <v xml:space="preserve">Sum </v>
      </c>
      <c r="V186" s="418"/>
      <c r="W186" s="762"/>
      <c r="X186" s="625"/>
      <c r="Y186" s="607"/>
      <c r="Z186" s="625"/>
      <c r="AA186" s="625"/>
      <c r="AB186" s="625"/>
      <c r="AC186" s="625"/>
      <c r="AD186" s="753">
        <f>SUM(AD187:AD189)</f>
        <v>33409.400224203091</v>
      </c>
      <c r="AE186" s="736"/>
      <c r="AF186" s="733"/>
      <c r="AG186" s="733"/>
      <c r="AH186" s="733"/>
      <c r="AI186" s="733"/>
      <c r="AJ186" s="733"/>
      <c r="AK186" s="733"/>
      <c r="AL186" s="733"/>
      <c r="AM186" s="733"/>
      <c r="AN186" s="721"/>
      <c r="AO186" s="721"/>
      <c r="AP186" s="721"/>
      <c r="AQ186" s="723"/>
      <c r="AR186" s="651"/>
      <c r="AT186" s="212"/>
      <c r="AU186" s="212"/>
      <c r="AV186" s="212"/>
      <c r="AW186" s="212"/>
      <c r="AX186" s="212"/>
      <c r="AY186" s="212"/>
      <c r="AZ186" s="212"/>
      <c r="BA186" s="212"/>
    </row>
    <row r="187" spans="3:53" ht="15.75" customHeight="1" thickBot="1" x14ac:dyDescent="0.3">
      <c r="C187" s="568" t="str">
        <f t="shared" si="153"/>
        <v>National air</v>
      </c>
      <c r="D187" s="538">
        <f>(D47*(1+'Growth, Modal Shift, InfraCosts'!C36)^'Growth, Modal Shift, InfraCosts'!$D$4)*(1-'Growth, Modal Shift, InfraCosts'!R16)</f>
        <v>644.01329177775381</v>
      </c>
      <c r="E187" s="448">
        <f>D187/D196</f>
        <v>5.9319714282085184E-3</v>
      </c>
      <c r="F187" s="364">
        <v>90</v>
      </c>
      <c r="G187" s="420">
        <v>0.6</v>
      </c>
      <c r="H187" s="827">
        <f>G187*F187</f>
        <v>54</v>
      </c>
      <c r="I187" s="538">
        <f>D187/H187</f>
        <v>11.926172069958405</v>
      </c>
      <c r="J187" s="473">
        <f>I187/I196</f>
        <v>2.5324321344905851E-4</v>
      </c>
      <c r="K187" s="557">
        <f t="shared" si="156"/>
        <v>3.1499171932100869</v>
      </c>
      <c r="L187" s="364">
        <f>L47*AV10</f>
        <v>170.0955284333447</v>
      </c>
      <c r="M187" s="538">
        <f>K187*D187</f>
        <v>2028.5885404265709</v>
      </c>
      <c r="N187" s="365">
        <f>M187/$M$196</f>
        <v>1.4031930437021849E-2</v>
      </c>
      <c r="O187" s="450" t="s">
        <v>4</v>
      </c>
      <c r="P187" s="532">
        <f>Q187*SUM(M187+M188)</f>
        <v>33325.876723642585</v>
      </c>
      <c r="Q187" s="473">
        <v>0.99750000000000005</v>
      </c>
      <c r="R187" s="532">
        <f>S187*SUM(D187:D188)</f>
        <v>23023.459423282671</v>
      </c>
      <c r="S187" s="367">
        <f>Q187</f>
        <v>0.99750000000000005</v>
      </c>
      <c r="T187" s="525"/>
      <c r="U187" s="477" t="str">
        <f>U47</f>
        <v>Gas-turbines Bio-jetfuel</v>
      </c>
      <c r="V187" s="294">
        <f>V47</f>
        <v>0</v>
      </c>
      <c r="W187" s="532"/>
      <c r="X187" s="611"/>
      <c r="Y187" s="611"/>
      <c r="Z187" s="421"/>
      <c r="AA187" s="421">
        <f>1/AB187</f>
        <v>4.6509725776330453E-3</v>
      </c>
      <c r="AB187" s="416">
        <f>AB188</f>
        <v>215.00879295850763</v>
      </c>
      <c r="AC187" s="411">
        <f>AC188</f>
        <v>1.4474747739230494</v>
      </c>
      <c r="AD187" s="748">
        <f>(AC187*V187*D186)</f>
        <v>0</v>
      </c>
      <c r="AE187" s="720"/>
      <c r="AF187" s="733"/>
      <c r="AG187" s="733"/>
      <c r="AH187" s="733"/>
      <c r="AI187" s="733"/>
      <c r="AJ187" s="733"/>
      <c r="AK187" s="733"/>
      <c r="AL187" s="733"/>
      <c r="AM187" s="722">
        <f>AD187</f>
        <v>0</v>
      </c>
      <c r="AN187" s="721"/>
      <c r="AO187" s="721"/>
      <c r="AP187" s="721"/>
      <c r="AQ187" s="723"/>
      <c r="AR187" s="649"/>
      <c r="AT187" s="212"/>
      <c r="AU187" s="212"/>
      <c r="AV187" s="212"/>
      <c r="AW187" s="212"/>
      <c r="AX187" s="212"/>
      <c r="AY187" s="212"/>
      <c r="AZ187" s="212"/>
      <c r="BA187" s="212"/>
    </row>
    <row r="188" spans="3:53" ht="15.75" customHeight="1" thickBot="1" x14ac:dyDescent="0.3">
      <c r="C188" s="568" t="str">
        <f t="shared" si="153"/>
        <v>International air</v>
      </c>
      <c r="D188" s="538">
        <f>SUM(D189:D190)</f>
        <v>22437.149037327679</v>
      </c>
      <c r="E188" s="448">
        <f>D188/D196</f>
        <v>0.20666736031562385</v>
      </c>
      <c r="F188" s="364">
        <v>184</v>
      </c>
      <c r="G188" s="381">
        <f>((G189*$D$49)+(G190*$D$50))/($D$49+$D$50)</f>
        <v>0.85</v>
      </c>
      <c r="H188" s="1323">
        <f>((H189*I189)+(H190*I190))/(I189+I190)</f>
        <v>156.4</v>
      </c>
      <c r="I188" s="538">
        <f>D188/H188</f>
        <v>143.46003220797749</v>
      </c>
      <c r="J188" s="661">
        <f>I188/I196</f>
        <v>3.046264915912819E-3</v>
      </c>
      <c r="K188" s="363">
        <f t="shared" si="156"/>
        <v>1.3986095841129222</v>
      </c>
      <c r="L188" s="364">
        <f>((I189*L189)+(I190*L190))/SUM(I189:I190)</f>
        <v>218.74253895526104</v>
      </c>
      <c r="M188" s="538">
        <f>K188*D188</f>
        <v>31380.811683776519</v>
      </c>
      <c r="N188" s="365">
        <f>M188/$M$196</f>
        <v>0.21706391307497055</v>
      </c>
      <c r="O188" s="411" t="s">
        <v>44</v>
      </c>
      <c r="P188" s="532">
        <f>Q188*SUM(M187+M188)</f>
        <v>83.523500560507728</v>
      </c>
      <c r="Q188" s="473">
        <v>2.5000000000000001E-3</v>
      </c>
      <c r="R188" s="532">
        <f>S188*SUM(D187:D188)</f>
        <v>57.70290582276359</v>
      </c>
      <c r="S188" s="366">
        <f>Q188</f>
        <v>2.5000000000000001E-3</v>
      </c>
      <c r="T188" s="525"/>
      <c r="U188" s="477" t="str">
        <f>U48</f>
        <v>Gas-turbines Syn-jetfuel</v>
      </c>
      <c r="V188" s="295">
        <f>V48</f>
        <v>0</v>
      </c>
      <c r="W188" s="532"/>
      <c r="X188" s="612"/>
      <c r="Y188" s="612"/>
      <c r="Z188" s="421"/>
      <c r="AA188" s="421">
        <f>1/AB188</f>
        <v>4.6509725776330453E-3</v>
      </c>
      <c r="AB188" s="416">
        <f>AB189</f>
        <v>215.00879295850763</v>
      </c>
      <c r="AC188" s="411">
        <f>AC189</f>
        <v>1.4474747739230494</v>
      </c>
      <c r="AD188" s="748">
        <f>(AC188*V188*$D$186)</f>
        <v>0</v>
      </c>
      <c r="AE188" s="736"/>
      <c r="AF188" s="733"/>
      <c r="AG188" s="733"/>
      <c r="AH188" s="733"/>
      <c r="AI188" s="733"/>
      <c r="AJ188" s="733"/>
      <c r="AK188" s="733"/>
      <c r="AL188" s="733"/>
      <c r="AM188" s="733"/>
      <c r="AN188" s="721"/>
      <c r="AO188" s="721"/>
      <c r="AP188" s="721"/>
      <c r="AQ188" s="724">
        <f>AD188</f>
        <v>0</v>
      </c>
      <c r="AR188" s="649"/>
      <c r="AT188" s="212"/>
      <c r="AU188" s="212"/>
      <c r="AV188" s="212"/>
      <c r="AW188" s="212"/>
      <c r="AX188" s="212"/>
      <c r="AY188" s="212"/>
      <c r="AZ188" s="212"/>
      <c r="BA188" s="212"/>
    </row>
    <row r="189" spans="3:53" ht="15.75" customHeight="1" x14ac:dyDescent="0.25">
      <c r="C189" s="569" t="str">
        <f t="shared" si="153"/>
        <v>International air (1-1000km)</v>
      </c>
      <c r="D189" s="691">
        <f>(D49*(1+'Growth, Modal Shift, InfraCosts'!C38)^'Growth, Modal Shift, InfraCosts'!$D$4)*(1-'Growth, Modal Shift, InfraCosts'!R15)</f>
        <v>5609.2872593319189</v>
      </c>
      <c r="E189" s="547">
        <f>D189/$D$196</f>
        <v>5.1666840078905957E-2</v>
      </c>
      <c r="F189" s="364">
        <v>184</v>
      </c>
      <c r="G189" s="425">
        <v>0.85</v>
      </c>
      <c r="H189" s="827">
        <f>G189*F189</f>
        <v>156.4</v>
      </c>
      <c r="I189" s="538">
        <f>D189/H189</f>
        <v>35.865008051994366</v>
      </c>
      <c r="J189" s="473">
        <f>I189/I196</f>
        <v>7.6156622897820454E-4</v>
      </c>
      <c r="K189" s="557">
        <f t="shared" si="156"/>
        <v>1.7213926012281913</v>
      </c>
      <c r="L189" s="364">
        <f>L49*AV10</f>
        <v>269.22580283208913</v>
      </c>
      <c r="M189" s="691">
        <f>K189*D189</f>
        <v>9655.7855863775239</v>
      </c>
      <c r="N189" s="372">
        <f>M189/$M$196</f>
        <v>6.6789942347972142E-2</v>
      </c>
      <c r="T189" s="525"/>
      <c r="U189" s="477" t="str">
        <f>U49</f>
        <v>No shift in technology / Jet fossil fuels</v>
      </c>
      <c r="V189" s="887">
        <f>1-SUM(V187:V188)</f>
        <v>1</v>
      </c>
      <c r="W189" s="694">
        <f>AB189*72</f>
        <v>15480.63309301255</v>
      </c>
      <c r="X189" s="61"/>
      <c r="Y189" s="347"/>
      <c r="Z189" s="61"/>
      <c r="AA189" s="382">
        <f>1/AB189</f>
        <v>4.6509725776330453E-3</v>
      </c>
      <c r="AB189" s="55">
        <f>((I187*L187)+(I188*L188))/SUM(I187:I188)</f>
        <v>215.00879295850763</v>
      </c>
      <c r="AC189" s="411">
        <f>((K187*D187)+(K188*D188))/SUM(D187:D188)</f>
        <v>1.4474747739230494</v>
      </c>
      <c r="AD189" s="748">
        <f>(AC189*V189*$D$186)</f>
        <v>33409.400224203091</v>
      </c>
      <c r="AE189" s="720"/>
      <c r="AF189" s="733"/>
      <c r="AG189" s="722">
        <f>+AD189</f>
        <v>33409.400224203091</v>
      </c>
      <c r="AH189" s="733"/>
      <c r="AI189" s="733"/>
      <c r="AJ189" s="721"/>
      <c r="AK189" s="721"/>
      <c r="AL189" s="721"/>
      <c r="AM189" s="721"/>
      <c r="AN189" s="721"/>
      <c r="AO189" s="721"/>
      <c r="AP189" s="721"/>
      <c r="AQ189" s="723"/>
      <c r="AR189" s="647"/>
      <c r="AT189" s="212"/>
      <c r="AU189" s="212"/>
      <c r="AV189" s="212"/>
      <c r="AW189" s="212"/>
      <c r="AX189" s="212"/>
      <c r="AY189" s="212"/>
      <c r="AZ189" s="212"/>
      <c r="BA189" s="212"/>
    </row>
    <row r="190" spans="3:53" ht="15.75" customHeight="1" thickBot="1" x14ac:dyDescent="0.3">
      <c r="C190" s="569" t="str">
        <f t="shared" si="153"/>
        <v>International air (&gt;1000km)</v>
      </c>
      <c r="D190" s="691">
        <f>(D50*(1+'Growth, Modal Shift, InfraCosts'!C39)^'Growth, Modal Shift, InfraCosts'!$D$4)</f>
        <v>16827.86177799576</v>
      </c>
      <c r="E190" s="550">
        <f>D190/$D$196</f>
        <v>0.1550005202367179</v>
      </c>
      <c r="F190" s="364">
        <v>184</v>
      </c>
      <c r="G190" s="426">
        <v>0.85</v>
      </c>
      <c r="H190" s="827">
        <f>G190*F190</f>
        <v>156.4</v>
      </c>
      <c r="I190" s="538">
        <f>D190/H190</f>
        <v>107.59502415598313</v>
      </c>
      <c r="J190" s="473">
        <f>I190/I196</f>
        <v>2.2846986869346142E-3</v>
      </c>
      <c r="K190" s="557">
        <f t="shared" si="156"/>
        <v>1.2910152450744992</v>
      </c>
      <c r="L190" s="364">
        <f>L50*AV10</f>
        <v>201.91478432965167</v>
      </c>
      <c r="M190" s="691">
        <f>K190*D190</f>
        <v>21725.026097398993</v>
      </c>
      <c r="N190" s="372">
        <f>M190/$M$196</f>
        <v>0.15027397072699841</v>
      </c>
      <c r="T190" s="527"/>
      <c r="U190" s="477"/>
      <c r="V190" s="412"/>
      <c r="W190" s="705"/>
      <c r="X190" s="406"/>
      <c r="Y190" s="406"/>
      <c r="Z190" s="406"/>
      <c r="AA190" s="406"/>
      <c r="AB190" s="406"/>
      <c r="AC190" s="406"/>
      <c r="AD190" s="747"/>
      <c r="AE190" s="734"/>
      <c r="AF190" s="735"/>
      <c r="AG190" s="735"/>
      <c r="AH190" s="735"/>
      <c r="AI190" s="735"/>
      <c r="AJ190" s="730"/>
      <c r="AK190" s="730"/>
      <c r="AL190" s="730"/>
      <c r="AM190" s="730"/>
      <c r="AN190" s="730"/>
      <c r="AO190" s="730"/>
      <c r="AP190" s="730"/>
      <c r="AQ190" s="731"/>
      <c r="AR190" s="652"/>
      <c r="AT190" s="212"/>
      <c r="AU190" s="212"/>
      <c r="AV190" s="212"/>
      <c r="AW190" s="212"/>
      <c r="AX190" s="212"/>
      <c r="AY190" s="212"/>
      <c r="AZ190" s="212"/>
      <c r="BA190" s="212"/>
    </row>
    <row r="191" spans="3:53" ht="15.75" customHeight="1" thickBot="1" x14ac:dyDescent="0.3">
      <c r="C191" s="571" t="str">
        <f t="shared" si="153"/>
        <v>Sea</v>
      </c>
      <c r="D191" s="693">
        <f>D193+D192</f>
        <v>1011.3757121804953</v>
      </c>
      <c r="E191" s="392">
        <f>E192+E193</f>
        <v>9.3157267162571611E-3</v>
      </c>
      <c r="F191" s="1319">
        <f>((F192*I192)+(F193*I193))/(I192+I193)</f>
        <v>1214.1832245046662</v>
      </c>
      <c r="G191" s="1320">
        <f>H191/F191</f>
        <v>0.42579265886067613</v>
      </c>
      <c r="H191" s="1321">
        <f>((H192*I192)+(H193*I193))/(I192+I193)</f>
        <v>516.99030350587111</v>
      </c>
      <c r="I191" s="759">
        <f>I193+I192</f>
        <v>1.9562759791083968</v>
      </c>
      <c r="J191" s="801">
        <f>J193+J192</f>
        <v>4.1540035850274422E-5</v>
      </c>
      <c r="K191" s="682">
        <f t="shared" si="156"/>
        <v>2.7273207324159974</v>
      </c>
      <c r="L191" s="1319">
        <f>((L192*I192)+(L193*I193))/(I192+I193)</f>
        <v>1409.9983732096011</v>
      </c>
      <c r="M191" s="693">
        <f>M193+M192</f>
        <v>2758.3459480918591</v>
      </c>
      <c r="N191" s="413">
        <f>N193+N192</f>
        <v>1.9079728438536475E-2</v>
      </c>
      <c r="O191" s="682" t="s">
        <v>60</v>
      </c>
      <c r="P191" s="759">
        <f>SUM(P192)</f>
        <v>2758.3459480918591</v>
      </c>
      <c r="Q191" s="801">
        <f>SUM(Q192)</f>
        <v>1</v>
      </c>
      <c r="R191" s="759">
        <f>SUM(R192)</f>
        <v>1011.3757121804953</v>
      </c>
      <c r="S191" s="797">
        <f>SUM(S192)</f>
        <v>1</v>
      </c>
      <c r="T191" s="680"/>
      <c r="U191" s="478" t="str">
        <f>U51</f>
        <v xml:space="preserve">Sum </v>
      </c>
      <c r="V191" s="396"/>
      <c r="W191" s="761"/>
      <c r="X191" s="395"/>
      <c r="Y191" s="605"/>
      <c r="Z191" s="395"/>
      <c r="AA191" s="395"/>
      <c r="AB191" s="394"/>
      <c r="AC191" s="394"/>
      <c r="AD191" s="1573">
        <f>SUM(AD192:AD195)</f>
        <v>2758.3459480918591</v>
      </c>
      <c r="AE191" s="725"/>
      <c r="AF191" s="733"/>
      <c r="AG191" s="733"/>
      <c r="AH191" s="733"/>
      <c r="AI191" s="733"/>
      <c r="AJ191" s="733"/>
      <c r="AK191" s="733"/>
      <c r="AL191" s="733"/>
      <c r="AM191" s="733"/>
      <c r="AN191" s="721"/>
      <c r="AO191" s="721"/>
      <c r="AP191" s="721"/>
      <c r="AQ191" s="723"/>
      <c r="AR191" s="653"/>
      <c r="AT191" s="212"/>
      <c r="AU191" s="212"/>
      <c r="AV191" s="212"/>
      <c r="AW191" s="212"/>
      <c r="AX191" s="212"/>
      <c r="AY191" s="212"/>
      <c r="AZ191" s="212"/>
      <c r="BA191" s="212"/>
    </row>
    <row r="192" spans="3:53" ht="15.75" customHeight="1" x14ac:dyDescent="0.25">
      <c r="C192" s="568" t="str">
        <f t="shared" si="153"/>
        <v>National sea</v>
      </c>
      <c r="D192" s="538">
        <f>(D52*(1+'Growth, Modal Shift, InfraCosts'!C41)^'Growth, Modal Shift, InfraCosts'!$D$4)</f>
        <v>201.24703259566468</v>
      </c>
      <c r="E192" s="448">
        <f>D192/$D$196</f>
        <v>1.8536754793893346E-3</v>
      </c>
      <c r="F192" s="364">
        <v>570</v>
      </c>
      <c r="G192" s="425">
        <v>0.35</v>
      </c>
      <c r="H192" s="827">
        <f>G192*F192</f>
        <v>199.5</v>
      </c>
      <c r="I192" s="538">
        <f>D192/H192</f>
        <v>1.0087570556173668</v>
      </c>
      <c r="J192" s="473">
        <f>I192/I196</f>
        <v>2.1420190556989304E-5</v>
      </c>
      <c r="K192" s="557">
        <f t="shared" si="156"/>
        <v>4.0021951361466792</v>
      </c>
      <c r="L192" s="1326">
        <f>L52*AV8</f>
        <v>798.4379296612625</v>
      </c>
      <c r="M192" s="538">
        <f>K192*D192</f>
        <v>805.42989501832142</v>
      </c>
      <c r="N192" s="365">
        <f>M192/M196</f>
        <v>5.5712314417483456E-3</v>
      </c>
      <c r="O192" s="450" t="s">
        <v>3</v>
      </c>
      <c r="P192" s="532">
        <f>SUM(M192:M193)</f>
        <v>2758.3459480918591</v>
      </c>
      <c r="Q192" s="436">
        <f>P192/P192</f>
        <v>1</v>
      </c>
      <c r="R192" s="532">
        <f>SUM(D192:D193)</f>
        <v>1011.3757121804953</v>
      </c>
      <c r="S192" s="367">
        <v>1</v>
      </c>
      <c r="T192" s="525"/>
      <c r="U192" s="477" t="str">
        <f>U52</f>
        <v>Bio-methanol</v>
      </c>
      <c r="V192" s="294">
        <f>V52</f>
        <v>0</v>
      </c>
      <c r="W192" s="532"/>
      <c r="X192" s="611"/>
      <c r="Y192" s="611"/>
      <c r="Z192" s="421"/>
      <c r="AA192" s="421"/>
      <c r="AB192" s="416">
        <f t="shared" ref="AB192:AC194" si="157">AB193</f>
        <v>1409.9983732096011</v>
      </c>
      <c r="AC192" s="411">
        <f t="shared" si="157"/>
        <v>2.7273207324159974</v>
      </c>
      <c r="AD192" s="532">
        <f>(V192*AC192*D191)</f>
        <v>0</v>
      </c>
      <c r="AE192" s="720"/>
      <c r="AF192" s="733"/>
      <c r="AG192" s="733"/>
      <c r="AI192" s="738">
        <f>AD192</f>
        <v>0</v>
      </c>
      <c r="AJ192" s="733"/>
      <c r="AK192" s="733"/>
      <c r="AL192" s="733"/>
      <c r="AM192" s="733"/>
      <c r="AN192" s="721"/>
      <c r="AO192" s="721"/>
      <c r="AP192" s="721"/>
      <c r="AQ192" s="723"/>
      <c r="AR192" s="649"/>
      <c r="AT192" s="212"/>
      <c r="AU192" s="212"/>
      <c r="AV192" s="212"/>
      <c r="AW192" s="212"/>
      <c r="AX192" s="212"/>
      <c r="AY192" s="212"/>
      <c r="AZ192" s="212"/>
      <c r="BA192" s="212"/>
    </row>
    <row r="193" spans="2:63" ht="15.75" customHeight="1" thickBot="1" x14ac:dyDescent="0.3">
      <c r="C193" s="568" t="str">
        <f t="shared" si="153"/>
        <v>International sea</v>
      </c>
      <c r="D193" s="538">
        <f>(D53*(1+'Growth, Modal Shift, InfraCosts'!C42)^'Growth, Modal Shift, InfraCosts'!$D$4)</f>
        <v>810.12867958483059</v>
      </c>
      <c r="E193" s="549">
        <f>D193/$D$196</f>
        <v>7.4620512368678265E-3</v>
      </c>
      <c r="F193" s="364">
        <v>1900</v>
      </c>
      <c r="G193" s="426">
        <v>0.45</v>
      </c>
      <c r="H193" s="827">
        <f>G193*F193</f>
        <v>855</v>
      </c>
      <c r="I193" s="538">
        <f>D193/H193</f>
        <v>0.94751892349102995</v>
      </c>
      <c r="J193" s="473">
        <f>I193/I196</f>
        <v>2.0119845293285114E-5</v>
      </c>
      <c r="K193" s="557">
        <f t="shared" si="156"/>
        <v>2.4106245122371859</v>
      </c>
      <c r="L193" s="402">
        <f>L53*AV8</f>
        <v>2061.0839579627941</v>
      </c>
      <c r="M193" s="694">
        <f>K193*D193</f>
        <v>1952.9160530735378</v>
      </c>
      <c r="N193" s="365">
        <f>M193/M196</f>
        <v>1.3508496996788131E-2</v>
      </c>
      <c r="T193" s="525"/>
      <c r="U193" s="477" t="str">
        <f>U53</f>
        <v>Gas-turbine biogas</v>
      </c>
      <c r="V193" s="375">
        <f>V53</f>
        <v>0</v>
      </c>
      <c r="W193" s="532"/>
      <c r="X193" s="612"/>
      <c r="Y193" s="612"/>
      <c r="Z193" s="421"/>
      <c r="AA193" s="421"/>
      <c r="AB193" s="416">
        <f t="shared" si="157"/>
        <v>1409.9983732096011</v>
      </c>
      <c r="AC193" s="411">
        <f t="shared" si="157"/>
        <v>2.7273207324159974</v>
      </c>
      <c r="AD193" s="532">
        <f>(V193*AC193*D191)</f>
        <v>0</v>
      </c>
      <c r="AE193" s="720"/>
      <c r="AF193" s="733"/>
      <c r="AG193" s="733"/>
      <c r="AH193" s="721"/>
      <c r="AI193" s="721"/>
      <c r="AJ193" s="721"/>
      <c r="AK193" s="721"/>
      <c r="AL193" s="738">
        <f>AD193</f>
        <v>0</v>
      </c>
      <c r="AM193" s="721"/>
      <c r="AN193" s="721"/>
      <c r="AO193" s="721"/>
      <c r="AP193" s="721"/>
      <c r="AQ193" s="723"/>
      <c r="AR193" s="649"/>
      <c r="AT193" s="894"/>
      <c r="AU193" s="894"/>
      <c r="AV193" s="894"/>
      <c r="AW193" s="894"/>
      <c r="AX193" s="894"/>
      <c r="AY193" s="894"/>
      <c r="AZ193" s="212"/>
      <c r="BA193" s="212"/>
    </row>
    <row r="194" spans="2:63" ht="15.75" customHeight="1" thickBot="1" x14ac:dyDescent="0.3">
      <c r="C194" s="569"/>
      <c r="D194" s="691"/>
      <c r="E194" s="547"/>
      <c r="F194" s="371"/>
      <c r="G194" s="373"/>
      <c r="H194" s="828"/>
      <c r="I194" s="691"/>
      <c r="J194" s="417"/>
      <c r="K194" s="422"/>
      <c r="L194" s="369"/>
      <c r="M194" s="691"/>
      <c r="N194" s="372"/>
      <c r="O194" s="373"/>
      <c r="P194" s="691"/>
      <c r="Q194" s="436"/>
      <c r="R194" s="691"/>
      <c r="S194" s="374"/>
      <c r="T194" s="525"/>
      <c r="U194" s="477" t="str">
        <f>U54</f>
        <v>Syn-methanol</v>
      </c>
      <c r="V194" s="295">
        <f>V54</f>
        <v>0</v>
      </c>
      <c r="W194" s="517"/>
      <c r="AB194" s="416">
        <f t="shared" si="157"/>
        <v>1409.9983732096011</v>
      </c>
      <c r="AC194" s="411">
        <f t="shared" si="157"/>
        <v>2.7273207324159974</v>
      </c>
      <c r="AD194" s="532">
        <f>(V194*AC194*D191)</f>
        <v>0</v>
      </c>
      <c r="AE194" s="720"/>
      <c r="AF194" s="733"/>
      <c r="AG194" s="733"/>
      <c r="AH194" s="738">
        <f>AD194</f>
        <v>0</v>
      </c>
      <c r="AI194" s="721"/>
      <c r="AJ194" s="721"/>
      <c r="AK194" s="721"/>
      <c r="AL194" s="721"/>
      <c r="AM194" s="721"/>
      <c r="AN194" s="721"/>
      <c r="AO194" s="721"/>
      <c r="AP194" s="721"/>
      <c r="AQ194" s="721"/>
      <c r="AR194" s="649"/>
      <c r="AT194" s="212"/>
      <c r="AU194" s="212"/>
      <c r="AV194" s="212"/>
      <c r="AW194" s="212"/>
      <c r="AX194" s="212"/>
      <c r="AY194" s="212"/>
      <c r="AZ194" s="894"/>
      <c r="BA194" s="894"/>
    </row>
    <row r="195" spans="2:63" ht="15.75" customHeight="1" thickBot="1" x14ac:dyDescent="0.3">
      <c r="C195" s="573"/>
      <c r="E195" s="815"/>
      <c r="F195" s="57"/>
      <c r="G195" s="4"/>
      <c r="J195" s="417"/>
      <c r="K195" s="544"/>
      <c r="L195" s="4"/>
      <c r="M195" s="532"/>
      <c r="N195" s="353"/>
      <c r="O195" s="405"/>
      <c r="S195" s="445"/>
      <c r="T195" s="525"/>
      <c r="U195" s="477" t="str">
        <f>U55</f>
        <v>No shift in technology /  Diesel</v>
      </c>
      <c r="V195" s="459">
        <f>1-SUM(V192:V194)</f>
        <v>1</v>
      </c>
      <c r="W195" s="538">
        <f>AB195*78</f>
        <v>109979.87311034888</v>
      </c>
      <c r="X195" s="369"/>
      <c r="Y195" s="369"/>
      <c r="Z195" s="613"/>
      <c r="AA195" s="613"/>
      <c r="AB195" s="416">
        <f>((I192*L192)+(I193*L193))/SUM(I192+I193)</f>
        <v>1409.9983732096011</v>
      </c>
      <c r="AC195" s="411">
        <f>((K192*D192)+(K193*D193))/SUM(D192,D193)</f>
        <v>2.7273207324159974</v>
      </c>
      <c r="AD195" s="532">
        <f>(V195*AC195*$D$191)</f>
        <v>2758.3459480918591</v>
      </c>
      <c r="AE195" s="720"/>
      <c r="AF195" s="738">
        <f>AD195</f>
        <v>2758.3459480918591</v>
      </c>
      <c r="AG195" s="721"/>
      <c r="AH195" s="721"/>
      <c r="AI195" s="721"/>
      <c r="AJ195" s="721"/>
      <c r="AK195" s="721"/>
      <c r="AL195" s="721"/>
      <c r="AM195" s="721"/>
      <c r="AN195" s="721"/>
      <c r="AO195" s="721"/>
      <c r="AP195" s="721"/>
      <c r="AQ195" s="723"/>
      <c r="AR195" s="654"/>
      <c r="AT195" s="212"/>
      <c r="AU195" s="212"/>
      <c r="AV195" s="212"/>
      <c r="AW195" s="212"/>
      <c r="AX195" s="212"/>
      <c r="AY195" s="212"/>
      <c r="AZ195" s="212"/>
      <c r="BA195" s="212"/>
    </row>
    <row r="196" spans="2:63" ht="15.75" customHeight="1" thickBot="1" x14ac:dyDescent="0.3">
      <c r="C196" s="574" t="str">
        <f>C56</f>
        <v>Total</v>
      </c>
      <c r="D196" s="696">
        <f>SUM(D146+D165+D168+D171+D176+D181+D187+D188+D192+D193)</f>
        <v>108566.48579176463</v>
      </c>
      <c r="E196" s="816">
        <f>SUM(E193+E192+E188+E187+E181+E176+E171+E168+E165+E146)</f>
        <v>1.0000000000000002</v>
      </c>
      <c r="F196" s="427"/>
      <c r="G196" s="427"/>
      <c r="H196" s="831"/>
      <c r="I196" s="696">
        <f>SUM(I146+I165+I168+I171+I176+I181+I187+I188+I192+I193)</f>
        <v>47093.747972667516</v>
      </c>
      <c r="J196" s="541">
        <f>SUM(J146+J165+J168+J171+J176+J181+J187+J188+J192+J193)</f>
        <v>0.99999999999999967</v>
      </c>
      <c r="K196" s="429"/>
      <c r="L196" s="427"/>
      <c r="M196" s="696">
        <f>SUM(M147+M152+M157+M165+M168+M171+M176+M181+M187+M188+M192+M193)</f>
        <v>144569.45532414716</v>
      </c>
      <c r="N196" s="428">
        <f>SUM(N146+N165+N168+N171+N176+N181+N187+N188+N192+N193)</f>
        <v>1</v>
      </c>
      <c r="O196" s="427"/>
      <c r="P196" s="696">
        <f>P146+P164+P170+P186+P191</f>
        <v>144569.45532414713</v>
      </c>
      <c r="Q196" s="541"/>
      <c r="R196" s="696">
        <f>R146+R164+R181+R170+R186+R191</f>
        <v>108566.48579176464</v>
      </c>
      <c r="S196" s="428"/>
      <c r="T196" s="689"/>
      <c r="U196" s="627"/>
      <c r="V196" s="429"/>
      <c r="W196" s="696"/>
      <c r="X196" s="427"/>
      <c r="Y196" s="427"/>
      <c r="Z196" s="427"/>
      <c r="AA196" s="427"/>
      <c r="AB196" s="427"/>
      <c r="AC196" s="427"/>
      <c r="AD196" s="710">
        <f>SUM(AD146+AD164+AD170+AD181+AD186+AD191)</f>
        <v>144569.45532414713</v>
      </c>
      <c r="AE196" s="846">
        <f t="shared" ref="AE196:AQ196" si="158">SUM(AE146:AE195)</f>
        <v>60289.284218838293</v>
      </c>
      <c r="AF196" s="847">
        <f t="shared" si="158"/>
        <v>42371.792999784877</v>
      </c>
      <c r="AG196" s="847">
        <f t="shared" si="158"/>
        <v>33409.400224203091</v>
      </c>
      <c r="AH196" s="847">
        <f t="shared" si="158"/>
        <v>0</v>
      </c>
      <c r="AI196" s="847">
        <f t="shared" si="158"/>
        <v>0</v>
      </c>
      <c r="AJ196" s="847">
        <f t="shared" si="158"/>
        <v>2794.8628133068978</v>
      </c>
      <c r="AK196" s="847">
        <f t="shared" si="158"/>
        <v>3285.2872233187732</v>
      </c>
      <c r="AL196" s="847">
        <f t="shared" si="158"/>
        <v>0</v>
      </c>
      <c r="AM196" s="847">
        <f t="shared" si="158"/>
        <v>0</v>
      </c>
      <c r="AN196" s="847">
        <f t="shared" si="158"/>
        <v>0</v>
      </c>
      <c r="AO196" s="847">
        <f t="shared" si="158"/>
        <v>0</v>
      </c>
      <c r="AP196" s="847">
        <f t="shared" si="158"/>
        <v>2418.827844695209</v>
      </c>
      <c r="AQ196" s="848">
        <f t="shared" si="158"/>
        <v>0</v>
      </c>
      <c r="AR196" s="655"/>
      <c r="AT196" s="212"/>
      <c r="AU196" s="212"/>
      <c r="AV196" s="212"/>
      <c r="AW196" s="212"/>
      <c r="AX196" s="212"/>
      <c r="AY196" s="212"/>
      <c r="AZ196" s="212"/>
      <c r="BA196" s="212"/>
    </row>
    <row r="197" spans="2:63" ht="15.75" customHeight="1" thickBot="1" x14ac:dyDescent="0.3">
      <c r="C197" s="5"/>
      <c r="W197" s="532"/>
      <c r="AF197" s="529"/>
      <c r="AG197" s="529"/>
      <c r="AH197" s="532"/>
      <c r="AI197" s="532"/>
      <c r="AJ197" s="532"/>
      <c r="AK197" s="532"/>
      <c r="AL197" s="532"/>
      <c r="AM197" s="532"/>
      <c r="AN197" s="532"/>
      <c r="AO197" s="532"/>
      <c r="AT197" s="327"/>
      <c r="AU197" s="327"/>
      <c r="AV197" s="327"/>
      <c r="AW197" s="327"/>
      <c r="AX197" s="327"/>
      <c r="AY197" s="327"/>
      <c r="AZ197" s="212"/>
      <c r="BA197" s="212"/>
    </row>
    <row r="198" spans="2:63" ht="15.75" customHeight="1" thickBot="1" x14ac:dyDescent="0.3">
      <c r="C198" s="5"/>
      <c r="D198" s="1907" t="str">
        <f>$D$3</f>
        <v>Transport demand by mode of transport</v>
      </c>
      <c r="E198" s="1908"/>
      <c r="F198" s="1908"/>
      <c r="G198" s="1908"/>
      <c r="H198" s="1908"/>
      <c r="I198" s="1908"/>
      <c r="J198" s="1909"/>
      <c r="K198" s="1907" t="str">
        <f>$K$3</f>
        <v>Transport-energy demand by mode of tranport</v>
      </c>
      <c r="L198" s="1908"/>
      <c r="M198" s="1908"/>
      <c r="N198" s="1908"/>
      <c r="O198" s="1907" t="str">
        <f>$O$3</f>
        <v>Transport and transport-energy demand by fuel</v>
      </c>
      <c r="P198" s="1908"/>
      <c r="Q198" s="1908"/>
      <c r="R198" s="1908"/>
      <c r="S198" s="1909"/>
      <c r="U198" s="849" t="str">
        <f>$U$3</f>
        <v>Implementation of potential technologies</v>
      </c>
      <c r="V198" s="850"/>
      <c r="W198" s="850"/>
      <c r="X198" s="850"/>
      <c r="Y198" s="850"/>
      <c r="Z198" s="850"/>
      <c r="AA198" s="850"/>
      <c r="AB198" s="850"/>
      <c r="AC198" s="850"/>
      <c r="AD198" s="851"/>
      <c r="AE198" s="1901" t="str">
        <f>$AE$3</f>
        <v>Fuel consumpiton after the new technologies are implemented</v>
      </c>
      <c r="AF198" s="1902"/>
      <c r="AG198" s="1902"/>
      <c r="AH198" s="1902"/>
      <c r="AI198" s="1902"/>
      <c r="AJ198" s="1902"/>
      <c r="AK198" s="1902"/>
      <c r="AL198" s="1902"/>
      <c r="AM198" s="1902"/>
      <c r="AN198" s="1902"/>
      <c r="AO198" s="1902"/>
      <c r="AP198" s="1902"/>
      <c r="AQ198" s="1903"/>
      <c r="AS198" s="48"/>
      <c r="AT198" s="212"/>
      <c r="AU198" s="212"/>
      <c r="AV198" s="212"/>
      <c r="AW198" s="212"/>
      <c r="AX198" s="212"/>
      <c r="AY198" s="212"/>
      <c r="AZ198" s="327"/>
      <c r="BA198" s="327"/>
    </row>
    <row r="199" spans="2:63" ht="57" customHeight="1" thickBot="1" x14ac:dyDescent="0.3">
      <c r="C199" s="1925" t="str">
        <f>C59</f>
        <v>Freight transport</v>
      </c>
      <c r="D199" s="1904" t="str">
        <f>$D$4</f>
        <v>Transport demand</v>
      </c>
      <c r="E199" s="1905"/>
      <c r="F199" s="326" t="str">
        <f>$F$4</f>
        <v>Capacity</v>
      </c>
      <c r="G199" s="1916" t="str">
        <f>$G$4</f>
        <v>Load factor</v>
      </c>
      <c r="H199" s="1916"/>
      <c r="I199" s="1916" t="str">
        <f>$I$4</f>
        <v>Traffic work</v>
      </c>
      <c r="J199" s="1916"/>
      <c r="K199" s="1928" t="s">
        <v>36</v>
      </c>
      <c r="L199" s="1927"/>
      <c r="M199" s="1916" t="str">
        <f>$M$4</f>
        <v>Energy demand</v>
      </c>
      <c r="N199" s="1920"/>
      <c r="O199" s="1904" t="str">
        <f>$O$4</f>
        <v>Total fuel consumption</v>
      </c>
      <c r="P199" s="1905"/>
      <c r="Q199" s="1905"/>
      <c r="R199" s="1905" t="str">
        <f>$R$4</f>
        <v>Transport demand</v>
      </c>
      <c r="S199" s="1906"/>
      <c r="T199" s="518" t="str">
        <f>$T$4</f>
        <v>No of vehicles</v>
      </c>
      <c r="U199" s="328" t="str">
        <f>$U$4</f>
        <v>Type of technology</v>
      </c>
      <c r="V199" s="927" t="str">
        <f>$V$4</f>
        <v>Share</v>
      </c>
      <c r="W199" s="712" t="str">
        <f>$W$4</f>
        <v>CO2-emissions</v>
      </c>
      <c r="X199" s="328" t="str">
        <f>$X$4</f>
        <v>Specific energy consumption to move the vehicle</v>
      </c>
      <c r="Y199" s="328" t="str">
        <f>$Y$4</f>
        <v>Engine efficiency</v>
      </c>
      <c r="Z199" s="1905" t="str">
        <f>$Z$4</f>
        <v xml:space="preserve">Specific energy consumption </v>
      </c>
      <c r="AA199" s="1905"/>
      <c r="AB199" s="1905"/>
      <c r="AC199" s="328" t="str">
        <f>$AC$4</f>
        <v>Utilization efficiency</v>
      </c>
      <c r="AD199" s="712" t="str">
        <f>$AD$4</f>
        <v>Energy demand</v>
      </c>
      <c r="AE199" s="711" t="str">
        <f>$AE$4</f>
        <v>Petrol</v>
      </c>
      <c r="AF199" s="712" t="str">
        <f>$AF$4</f>
        <v>Diesel</v>
      </c>
      <c r="AG199" s="712" t="str">
        <f>$AG$4</f>
        <v xml:space="preserve">Jet fuel </v>
      </c>
      <c r="AH199" s="712" t="str">
        <f>$AH$4</f>
        <v>Syn-methanol</v>
      </c>
      <c r="AI199" s="712" t="str">
        <f>$AI$4</f>
        <v>Bio-methanol</v>
      </c>
      <c r="AJ199" s="712" t="str">
        <f>$AJ$4</f>
        <v>Bioethanol</v>
      </c>
      <c r="AK199" s="712" t="str">
        <f>$AK$4</f>
        <v>Biodiesel</v>
      </c>
      <c r="AL199" s="712" t="str">
        <f>$AL$4</f>
        <v>Biogas</v>
      </c>
      <c r="AM199" s="712" t="str">
        <f>$AM$4</f>
        <v>Bio-jetfuel</v>
      </c>
      <c r="AN199" s="712" t="str">
        <f>$AN$4</f>
        <v>Electricity BEV</v>
      </c>
      <c r="AO199" s="712" t="str">
        <f>$AO$4</f>
        <v>Electricity Plug-in-hybrid</v>
      </c>
      <c r="AP199" s="712" t="str">
        <f>$AP$4</f>
        <v>Electricity Train / bus</v>
      </c>
      <c r="AQ199" s="656" t="str">
        <f>$AQ$4</f>
        <v>Syn-jetfuel</v>
      </c>
      <c r="AR199" s="518" t="str">
        <f>$AR$4</f>
        <v>No of vehicles</v>
      </c>
      <c r="AT199" s="212"/>
      <c r="AU199" s="212"/>
      <c r="AV199" s="212"/>
      <c r="AW199" s="212"/>
      <c r="AX199" s="212"/>
      <c r="AY199" s="212"/>
      <c r="AZ199" s="212"/>
      <c r="BA199" s="212"/>
    </row>
    <row r="200" spans="2:63" ht="16.5" customHeight="1" thickBot="1" x14ac:dyDescent="0.3">
      <c r="B200" s="1929">
        <f>B145</f>
        <v>2020</v>
      </c>
      <c r="C200" s="1932"/>
      <c r="D200" s="690" t="str">
        <f t="shared" ref="D200:S200" si="159">D$60</f>
        <v>Mtkm</v>
      </c>
      <c r="E200" s="783" t="str">
        <f t="shared" si="159"/>
        <v>%</v>
      </c>
      <c r="F200" s="348" t="str">
        <f t="shared" si="159"/>
        <v>t/vehicle</v>
      </c>
      <c r="G200" s="349" t="str">
        <f t="shared" si="159"/>
        <v>%</v>
      </c>
      <c r="H200" s="819" t="str">
        <f t="shared" si="159"/>
        <v>t/vehicle</v>
      </c>
      <c r="I200" s="746" t="str">
        <f t="shared" si="159"/>
        <v>Mkm</v>
      </c>
      <c r="J200" s="808" t="str">
        <f t="shared" si="159"/>
        <v>%</v>
      </c>
      <c r="K200" s="350" t="str">
        <f t="shared" si="159"/>
        <v>MJ/tkm</v>
      </c>
      <c r="L200" s="348" t="str">
        <f t="shared" si="159"/>
        <v>MJ/km</v>
      </c>
      <c r="M200" s="690" t="str">
        <f t="shared" si="159"/>
        <v>TJ</v>
      </c>
      <c r="N200" s="784" t="str">
        <f t="shared" si="159"/>
        <v>%</v>
      </c>
      <c r="O200" s="350" t="str">
        <f t="shared" si="159"/>
        <v>Fuel</v>
      </c>
      <c r="P200" s="746" t="str">
        <f t="shared" si="159"/>
        <v>TJ</v>
      </c>
      <c r="Q200" s="808" t="str">
        <f t="shared" si="159"/>
        <v>% TJ</v>
      </c>
      <c r="R200" s="746" t="str">
        <f t="shared" si="159"/>
        <v>Mtkm</v>
      </c>
      <c r="S200" s="794" t="str">
        <f t="shared" si="159"/>
        <v>%</v>
      </c>
      <c r="T200" s="526"/>
      <c r="U200" s="348"/>
      <c r="V200" s="350" t="str">
        <f t="shared" ref="V200:AH200" si="160">V$60</f>
        <v>% of traffic work</v>
      </c>
      <c r="W200" s="746" t="str">
        <f t="shared" si="160"/>
        <v>[g/km]</v>
      </c>
      <c r="X200" s="348" t="str">
        <f t="shared" si="160"/>
        <v>MJ_mech/km</v>
      </c>
      <c r="Y200" s="348" t="str">
        <f t="shared" si="160"/>
        <v xml:space="preserve"> (MJ_mech/MJ)</v>
      </c>
      <c r="Z200" s="349" t="str">
        <f t="shared" si="160"/>
        <v>[km/Liter]</v>
      </c>
      <c r="AA200" s="349" t="str">
        <f t="shared" si="160"/>
        <v>[km/MJ]</v>
      </c>
      <c r="AB200" s="348" t="str">
        <f t="shared" si="160"/>
        <v>[MJ/km]</v>
      </c>
      <c r="AC200" s="349" t="str">
        <f t="shared" si="160"/>
        <v>MJ/tkm</v>
      </c>
      <c r="AD200" s="746" t="str">
        <f t="shared" si="160"/>
        <v>Total TJ</v>
      </c>
      <c r="AE200" s="713" t="str">
        <f t="shared" si="160"/>
        <v>TJ</v>
      </c>
      <c r="AF200" s="714" t="str">
        <f t="shared" si="160"/>
        <v>TJ</v>
      </c>
      <c r="AG200" s="714" t="str">
        <f t="shared" si="160"/>
        <v>TJ</v>
      </c>
      <c r="AH200" s="714" t="str">
        <f t="shared" si="160"/>
        <v>TJ</v>
      </c>
      <c r="AI200" s="714" t="s">
        <v>2</v>
      </c>
      <c r="AJ200" s="714" t="str">
        <f t="shared" ref="AJ200:AQ200" si="161">AJ$60</f>
        <v>TJ</v>
      </c>
      <c r="AK200" s="714" t="str">
        <f t="shared" si="161"/>
        <v>TJ</v>
      </c>
      <c r="AL200" s="714" t="str">
        <f t="shared" si="161"/>
        <v>TJ</v>
      </c>
      <c r="AM200" s="714" t="str">
        <f t="shared" si="161"/>
        <v>TJ</v>
      </c>
      <c r="AN200" s="714" t="str">
        <f t="shared" si="161"/>
        <v>TJ</v>
      </c>
      <c r="AO200" s="714" t="str">
        <f t="shared" si="161"/>
        <v>TJ</v>
      </c>
      <c r="AP200" s="714" t="str">
        <f t="shared" si="161"/>
        <v>TJ</v>
      </c>
      <c r="AQ200" s="715" t="str">
        <f t="shared" si="161"/>
        <v>TJ</v>
      </c>
      <c r="AR200" s="526"/>
      <c r="AT200" s="212"/>
      <c r="AU200" s="212"/>
      <c r="AV200" s="212"/>
      <c r="AW200" s="212"/>
      <c r="AX200" s="212"/>
      <c r="AY200" s="212"/>
      <c r="AZ200" s="212"/>
      <c r="BA200" s="212"/>
    </row>
    <row r="201" spans="2:63" ht="15.75" customHeight="1" thickBot="1" x14ac:dyDescent="0.3">
      <c r="B201" s="1930"/>
      <c r="C201" s="567" t="str">
        <f>C61</f>
        <v>National truck</v>
      </c>
      <c r="D201" s="693">
        <f>SUM(D202:D204)</f>
        <v>12436.848617120282</v>
      </c>
      <c r="E201" s="817">
        <f>D201/D281</f>
        <v>0.11636765313193824</v>
      </c>
      <c r="F201" s="1328">
        <f>((F202*I202)+(F203*I203)+(F204*I204))/(I202+I203+I204)</f>
        <v>20</v>
      </c>
      <c r="G201" s="1320">
        <f>H201/F201</f>
        <v>0.42288686515000629</v>
      </c>
      <c r="H201" s="1328">
        <f>((H202*I202)+(H203*I203)+(H204*I204))/(I202+I203+I204)</f>
        <v>8.4577373030001262</v>
      </c>
      <c r="I201" s="759">
        <f>D201/H201</f>
        <v>1470.4699580476076</v>
      </c>
      <c r="J201" s="795">
        <f>J203+J202+J204</f>
        <v>0.11590349244516793</v>
      </c>
      <c r="K201" s="1324">
        <f>L201/H201</f>
        <v>2.0868960599723509</v>
      </c>
      <c r="L201" s="1328">
        <f>((L202*I202)+(L203*I203)+(L204*I204))/(I202+I203+I204)</f>
        <v>17.650418653912141</v>
      </c>
      <c r="M201" s="759">
        <f>SUM(M202:M204)</f>
        <v>25954.410377540895</v>
      </c>
      <c r="N201" s="413">
        <f>M201/M281</f>
        <v>0.21245643440120904</v>
      </c>
      <c r="O201" s="682" t="s">
        <v>60</v>
      </c>
      <c r="P201" s="759">
        <f>SUM(P202+P203)</f>
        <v>25954.410377540895</v>
      </c>
      <c r="Q201" s="801">
        <f>SUM(Q202+Q203)</f>
        <v>1</v>
      </c>
      <c r="R201" s="759">
        <f>SUM(R202+R203)</f>
        <v>12436.848617120282</v>
      </c>
      <c r="S201" s="797">
        <f>SUM(S202+S203)</f>
        <v>1</v>
      </c>
      <c r="T201" s="781">
        <f>T61*((I201+I213)/(I61+I73))/(1.01^10)</f>
        <v>48948.360237792942</v>
      </c>
      <c r="U201" s="480" t="str">
        <f t="shared" ref="U201:U208" si="162">U61</f>
        <v>Sum</v>
      </c>
      <c r="V201" s="4"/>
      <c r="W201" s="532"/>
      <c r="X201" s="4"/>
      <c r="Y201" s="4"/>
      <c r="Z201" s="4"/>
      <c r="AA201" s="4"/>
      <c r="AB201" s="4"/>
      <c r="AC201" s="4"/>
      <c r="AD201" s="748">
        <f>SUM(AD202:AD212)</f>
        <v>25954.410377540898</v>
      </c>
      <c r="AE201" s="739"/>
      <c r="AF201" s="740"/>
      <c r="AG201" s="740"/>
      <c r="AH201" s="740"/>
      <c r="AI201" s="740"/>
      <c r="AJ201" s="717"/>
      <c r="AK201" s="717"/>
      <c r="AL201" s="717"/>
      <c r="AM201" s="717"/>
      <c r="AN201" s="717"/>
      <c r="AO201" s="717"/>
      <c r="AP201" s="717"/>
      <c r="AQ201" s="717"/>
      <c r="AR201" s="644">
        <f>SUM(AR202:AR212)</f>
        <v>48948.360237792942</v>
      </c>
      <c r="AT201" s="212"/>
      <c r="AU201" s="212"/>
      <c r="AV201" s="212"/>
      <c r="AW201" s="212"/>
      <c r="AX201" s="212"/>
      <c r="AY201" s="212"/>
      <c r="AZ201" s="212"/>
      <c r="BA201" s="212"/>
    </row>
    <row r="202" spans="2:63" ht="15.75" customHeight="1" x14ac:dyDescent="0.25">
      <c r="B202" s="1930"/>
      <c r="C202" s="569" t="str">
        <f>C62</f>
        <v>&lt;50km</v>
      </c>
      <c r="D202" s="691">
        <f>(D62*(1+'Growth, Modal Shift, InfraCosts'!C48)^'Growth, Modal Shift, InfraCosts'!$D$4)</f>
        <v>1339.0938748378678</v>
      </c>
      <c r="E202" s="448">
        <f>D202/D281</f>
        <v>1.2529477228156331E-2</v>
      </c>
      <c r="F202" s="1334">
        <v>20</v>
      </c>
      <c r="G202" s="881">
        <v>0.376</v>
      </c>
      <c r="H202" s="827">
        <f>G202*F202</f>
        <v>7.52</v>
      </c>
      <c r="I202" s="538">
        <f>D202/H202</f>
        <v>178.07099399439733</v>
      </c>
      <c r="J202" s="473">
        <f>I202/I281</f>
        <v>1.4035682942163832E-2</v>
      </c>
      <c r="K202" s="1342">
        <f>L202/H202</f>
        <v>6.2223638753908395</v>
      </c>
      <c r="L202" s="1343">
        <f>L62*$AV$6</f>
        <v>46.792176342939108</v>
      </c>
      <c r="M202" s="538">
        <f>D202*K202</f>
        <v>8332.3293525482914</v>
      </c>
      <c r="N202" s="372">
        <f>M202/M281</f>
        <v>6.8206403410759023E-2</v>
      </c>
      <c r="O202" s="450" t="s">
        <v>3</v>
      </c>
      <c r="P202" s="532">
        <f>Q202*M201</f>
        <v>24462.031780832294</v>
      </c>
      <c r="Q202" s="436">
        <f>1-Q203</f>
        <v>0.9425</v>
      </c>
      <c r="R202" s="532">
        <f>S202*D201</f>
        <v>11802.787607724042</v>
      </c>
      <c r="S202" s="367">
        <f>Q202*Z208/(Q202*Z208+Q203*Z205)</f>
        <v>0.94901755027206758</v>
      </c>
      <c r="T202" s="525">
        <f>S202*T201</f>
        <v>46452.852922704937</v>
      </c>
      <c r="U202" s="477" t="str">
        <f t="shared" si="162"/>
        <v>Fuel cell hybrid truck Syn-methanol</v>
      </c>
      <c r="V202" s="294">
        <f>V62</f>
        <v>0</v>
      </c>
      <c r="W202" s="532"/>
      <c r="X202" s="616"/>
      <c r="Y202" s="347">
        <f>Y160</f>
        <v>0.5</v>
      </c>
      <c r="Z202" s="411"/>
      <c r="AA202" s="615">
        <f t="shared" ref="AA202:AA208" si="163">1/AB202</f>
        <v>0.13489495221829503</v>
      </c>
      <c r="AB202" s="616">
        <f>AB62*AB212/AB72</f>
        <v>7.4131758346430976</v>
      </c>
      <c r="AC202" s="432">
        <f>AB202/H201</f>
        <v>0.87649634518838715</v>
      </c>
      <c r="AD202" s="748">
        <f>AC202*V202*D201</f>
        <v>0</v>
      </c>
      <c r="AE202" s="720"/>
      <c r="AF202" s="733"/>
      <c r="AG202" s="733"/>
      <c r="AH202" s="722">
        <f>AD202</f>
        <v>0</v>
      </c>
      <c r="AI202" s="733"/>
      <c r="AJ202" s="721"/>
      <c r="AK202" s="721"/>
      <c r="AL202" s="721"/>
      <c r="AM202" s="721"/>
      <c r="AN202" s="721"/>
      <c r="AO202" s="721"/>
      <c r="AP202" s="721"/>
      <c r="AR202" s="645">
        <f>V202*T201</f>
        <v>0</v>
      </c>
      <c r="AT202" s="212"/>
      <c r="AU202" s="212"/>
      <c r="AV202" s="212"/>
      <c r="AW202" s="212"/>
      <c r="AX202" s="212"/>
      <c r="AY202" s="212"/>
      <c r="AZ202" s="212"/>
      <c r="BA202" s="212"/>
    </row>
    <row r="203" spans="2:63" ht="15.75" customHeight="1" x14ac:dyDescent="0.25">
      <c r="B203" s="1930"/>
      <c r="C203" s="569" t="str">
        <f>C63</f>
        <v>50-200km</v>
      </c>
      <c r="D203" s="691">
        <f>(D63*(1+'Growth, Modal Shift, InfraCosts'!C49)^'Growth, Modal Shift, InfraCosts'!$D$4)*(1-'Growth, Modal Shift, InfraCosts'!R51)</f>
        <v>5016.0777159768322</v>
      </c>
      <c r="E203" s="448">
        <f>D203/D281</f>
        <v>4.6933850343093851E-2</v>
      </c>
      <c r="F203" s="1334">
        <v>20</v>
      </c>
      <c r="G203" s="882">
        <v>0.42499999999999999</v>
      </c>
      <c r="H203" s="827">
        <f>G203*F203</f>
        <v>8.5</v>
      </c>
      <c r="I203" s="538">
        <f>D203/H203</f>
        <v>590.12679011492139</v>
      </c>
      <c r="J203" s="473">
        <f>I203/I281</f>
        <v>4.6514215122483688E-2</v>
      </c>
      <c r="K203" s="1342">
        <f>L203/H203</f>
        <v>2.3120840075334614</v>
      </c>
      <c r="L203" s="1344">
        <f>L63*$AV$6</f>
        <v>19.652714064034424</v>
      </c>
      <c r="M203" s="538">
        <f>D203*K203</f>
        <v>11597.593067655007</v>
      </c>
      <c r="N203" s="372">
        <f>M203/M281</f>
        <v>9.4935050919990036E-2</v>
      </c>
      <c r="O203" s="917" t="s">
        <v>74</v>
      </c>
      <c r="P203" s="912">
        <f>Q203*M201</f>
        <v>1492.3785967086014</v>
      </c>
      <c r="Q203" s="913">
        <v>5.7500000000000002E-2</v>
      </c>
      <c r="R203" s="912">
        <f>S203*D201</f>
        <v>634.06100939624116</v>
      </c>
      <c r="S203" s="914">
        <f>Q203*Z205/(Q202*Z208+Q203*Z205)</f>
        <v>5.0982449727932463E-2</v>
      </c>
      <c r="T203" s="520">
        <f>S203*T201</f>
        <v>2495.5073150880071</v>
      </c>
      <c r="U203" s="477" t="str">
        <f t="shared" si="162"/>
        <v>ICE Biogas</v>
      </c>
      <c r="V203" s="375">
        <f>V63</f>
        <v>0</v>
      </c>
      <c r="W203" s="532"/>
      <c r="X203" s="616"/>
      <c r="Y203" s="362">
        <f>(Y63+Y343)/2</f>
        <v>0.2</v>
      </c>
      <c r="Z203" s="411"/>
      <c r="AA203" s="615">
        <f t="shared" si="163"/>
        <v>4.9265982549290349E-2</v>
      </c>
      <c r="AB203" s="61">
        <f>AB212*Y212/Y203</f>
        <v>20.297981451998961</v>
      </c>
      <c r="AC203" s="432">
        <f>AB203/H201</f>
        <v>2.3999304689682033</v>
      </c>
      <c r="AD203" s="748">
        <f>AC203*V203*D201</f>
        <v>0</v>
      </c>
      <c r="AE203" s="720"/>
      <c r="AF203" s="733"/>
      <c r="AG203" s="733"/>
      <c r="AH203" s="892"/>
      <c r="AI203" s="733"/>
      <c r="AJ203" s="741"/>
      <c r="AK203" s="741"/>
      <c r="AL203" s="722">
        <f>AD203</f>
        <v>0</v>
      </c>
      <c r="AM203" s="721"/>
      <c r="AN203" s="721"/>
      <c r="AO203" s="721"/>
      <c r="AP203" s="721"/>
      <c r="AQ203" s="721"/>
      <c r="AR203" s="645">
        <f>V203*T201</f>
        <v>0</v>
      </c>
      <c r="AT203" s="212"/>
      <c r="AU203" s="212"/>
      <c r="AV203" s="212"/>
      <c r="AW203" s="212"/>
      <c r="AX203" s="212"/>
      <c r="AY203" s="212"/>
      <c r="AZ203" s="212"/>
      <c r="BA203" s="212"/>
      <c r="BB203" s="48"/>
      <c r="BC203" s="48"/>
      <c r="BD203" s="48"/>
      <c r="BE203" s="48"/>
      <c r="BF203" s="48"/>
      <c r="BG203" s="48"/>
      <c r="BH203" s="48"/>
      <c r="BI203" s="48"/>
      <c r="BJ203" s="48"/>
      <c r="BK203" s="48"/>
    </row>
    <row r="204" spans="2:63" ht="15.75" customHeight="1" thickBot="1" x14ac:dyDescent="0.3">
      <c r="B204" s="1931"/>
      <c r="C204" s="569" t="str">
        <f>C64</f>
        <v>&gt;200km</v>
      </c>
      <c r="D204" s="691">
        <f>(D64*(1+'Growth, Modal Shift, InfraCosts'!C50)^'Growth, Modal Shift, InfraCosts'!$D$4)*(1-'Growth, Modal Shift, InfraCosts'!R52)</f>
        <v>6081.6770263055823</v>
      </c>
      <c r="E204" s="448">
        <f>D204/D281</f>
        <v>5.6904325560688064E-2</v>
      </c>
      <c r="F204" s="1334">
        <v>20</v>
      </c>
      <c r="G204" s="883">
        <v>0.433</v>
      </c>
      <c r="H204" s="827">
        <f>G204*F204</f>
        <v>8.66</v>
      </c>
      <c r="I204" s="538">
        <f>D204/H204</f>
        <v>702.27217393828892</v>
      </c>
      <c r="J204" s="473">
        <f>I204/I281</f>
        <v>5.5353594380520399E-2</v>
      </c>
      <c r="K204" s="1342">
        <f>L204/H204</f>
        <v>0.99059649686745599</v>
      </c>
      <c r="L204" s="1345">
        <f>L64*$AV$6</f>
        <v>8.5785656628721689</v>
      </c>
      <c r="M204" s="538">
        <f>D204*K204</f>
        <v>6024.4879573375965</v>
      </c>
      <c r="N204" s="372">
        <f>M204/M281</f>
        <v>4.9314980070459979E-2</v>
      </c>
      <c r="T204" s="524"/>
      <c r="U204" s="477" t="str">
        <f t="shared" si="162"/>
        <v>ICE hybrid vehicle Biogas</v>
      </c>
      <c r="V204" s="375">
        <f>V64</f>
        <v>0</v>
      </c>
      <c r="W204" s="532"/>
      <c r="X204" s="616"/>
      <c r="Y204" s="362">
        <f>Y203*(Y155/Y154)</f>
        <v>0.29190441532849692</v>
      </c>
      <c r="Z204" s="411"/>
      <c r="AA204" s="615">
        <f t="shared" si="163"/>
        <v>7.1904789158172652E-2</v>
      </c>
      <c r="AB204" s="61">
        <f>AB212*Y212/Y204</f>
        <v>13.907279497061714</v>
      </c>
      <c r="AC204" s="432">
        <f>AB204/H201</f>
        <v>1.6443262540358787</v>
      </c>
      <c r="AD204" s="748">
        <f>AC204*V204*D201</f>
        <v>0</v>
      </c>
      <c r="AE204" s="720"/>
      <c r="AF204" s="733"/>
      <c r="AG204" s="733"/>
      <c r="AH204" s="892"/>
      <c r="AI204" s="733"/>
      <c r="AJ204" s="741"/>
      <c r="AK204" s="741"/>
      <c r="AL204" s="722">
        <f>AD204</f>
        <v>0</v>
      </c>
      <c r="AM204" s="721"/>
      <c r="AN204" s="721"/>
      <c r="AO204" s="721"/>
      <c r="AP204" s="721"/>
      <c r="AQ204" s="721"/>
      <c r="AR204" s="645">
        <f>V204*T201</f>
        <v>0</v>
      </c>
      <c r="AT204" s="212"/>
      <c r="AU204" s="212"/>
      <c r="AV204" s="212"/>
      <c r="AW204" s="212"/>
      <c r="AX204" s="212"/>
      <c r="AY204" s="212"/>
      <c r="AZ204" s="212"/>
      <c r="BA204" s="212"/>
    </row>
    <row r="205" spans="2:63" ht="15.75" customHeight="1" x14ac:dyDescent="0.25">
      <c r="C205" s="569"/>
      <c r="D205" s="691"/>
      <c r="E205" s="448"/>
      <c r="F205" s="1334"/>
      <c r="G205" s="1318"/>
      <c r="H205" s="827"/>
      <c r="I205" s="538"/>
      <c r="J205" s="473"/>
      <c r="K205" s="1342"/>
      <c r="L205" s="1334"/>
      <c r="M205" s="538"/>
      <c r="N205" s="372"/>
      <c r="T205" s="524"/>
      <c r="U205" s="477" t="str">
        <f t="shared" si="162"/>
        <v>ICE Bio-methanol</v>
      </c>
      <c r="V205" s="375">
        <f>V65</f>
        <v>0</v>
      </c>
      <c r="W205" s="694"/>
      <c r="X205" s="616"/>
      <c r="Y205" s="362">
        <f>Y208</f>
        <v>0.22999999999999998</v>
      </c>
      <c r="Z205" s="61">
        <f>1/((AB205/37600)/0.84*1000)</f>
        <v>1.7894193117623041</v>
      </c>
      <c r="AA205" s="615">
        <f t="shared" si="163"/>
        <v>5.6655879931683903E-2</v>
      </c>
      <c r="AB205" s="61">
        <f>AB212</f>
        <v>17.650418653912141</v>
      </c>
      <c r="AC205" s="432">
        <f>AB205/H201</f>
        <v>2.0868960599723509</v>
      </c>
      <c r="AD205" s="748">
        <f>AC205*V205*D201</f>
        <v>0</v>
      </c>
      <c r="AE205" s="720"/>
      <c r="AF205" s="733"/>
      <c r="AG205" s="733"/>
      <c r="AH205" s="892"/>
      <c r="AI205" s="722">
        <f>+AD205</f>
        <v>0</v>
      </c>
      <c r="AJ205" s="721"/>
      <c r="AK205" s="721"/>
      <c r="AL205" s="721"/>
      <c r="AM205" s="721"/>
      <c r="AN205" s="721"/>
      <c r="AO205" s="721"/>
      <c r="AP205" s="721"/>
      <c r="AQ205" s="721"/>
      <c r="AR205" s="645">
        <f>V205*T201</f>
        <v>0</v>
      </c>
      <c r="AT205" s="212"/>
      <c r="AU205" s="212"/>
      <c r="AV205" s="212"/>
      <c r="AW205" s="212"/>
      <c r="AX205" s="212"/>
      <c r="AY205" s="212"/>
      <c r="AZ205" s="212"/>
      <c r="BA205" s="212"/>
    </row>
    <row r="206" spans="2:63" ht="15.75" customHeight="1" x14ac:dyDescent="0.25">
      <c r="C206" s="569"/>
      <c r="D206" s="691"/>
      <c r="E206" s="448"/>
      <c r="F206" s="1334"/>
      <c r="G206" s="1318"/>
      <c r="H206" s="827"/>
      <c r="I206" s="538"/>
      <c r="J206" s="473"/>
      <c r="K206" s="1342"/>
      <c r="L206" s="1334"/>
      <c r="M206" s="538"/>
      <c r="N206" s="372"/>
      <c r="O206" s="435"/>
      <c r="P206" s="691"/>
      <c r="Q206" s="436"/>
      <c r="S206" s="374"/>
      <c r="T206" s="521"/>
      <c r="U206" s="477" t="str">
        <f t="shared" si="162"/>
        <v>ICE hybrid vehicle Bio-methanol</v>
      </c>
      <c r="V206" s="375">
        <f>V6</f>
        <v>0</v>
      </c>
      <c r="W206" s="694"/>
      <c r="X206" s="616"/>
      <c r="Y206" s="362">
        <f>Y205*((Y155/Y154))</f>
        <v>0.33569007762777142</v>
      </c>
      <c r="Z206" s="61">
        <f>1/((AB206/37600)/0.84*1000)</f>
        <v>2.6116969898874838</v>
      </c>
      <c r="AA206" s="615">
        <f t="shared" si="163"/>
        <v>8.2690507531898549E-2</v>
      </c>
      <c r="AB206" s="61">
        <f>AB212*Y212/Y206</f>
        <v>12.093286519184099</v>
      </c>
      <c r="AC206" s="432">
        <f>AB206/H201</f>
        <v>1.4298489165529382</v>
      </c>
      <c r="AD206" s="748">
        <f>AC206*V206*D201</f>
        <v>0</v>
      </c>
      <c r="AE206" s="720"/>
      <c r="AF206" s="733"/>
      <c r="AG206" s="733"/>
      <c r="AH206" s="892"/>
      <c r="AI206" s="722">
        <f>+AD206</f>
        <v>0</v>
      </c>
      <c r="AJ206" s="721"/>
      <c r="AK206" s="721"/>
      <c r="AL206" s="721"/>
      <c r="AM206" s="721"/>
      <c r="AN206" s="721"/>
      <c r="AO206" s="721"/>
      <c r="AP206" s="721"/>
      <c r="AQ206" s="721"/>
      <c r="AR206" s="645">
        <f>V206*T201</f>
        <v>0</v>
      </c>
      <c r="AT206" s="212"/>
      <c r="AU206" s="212"/>
      <c r="AV206" s="212"/>
      <c r="AW206" s="212"/>
      <c r="AX206" s="212"/>
      <c r="AY206" s="212"/>
      <c r="AZ206" s="212"/>
      <c r="BA206" s="212"/>
    </row>
    <row r="207" spans="2:63" ht="15.75" customHeight="1" x14ac:dyDescent="0.25">
      <c r="C207" s="569"/>
      <c r="D207" s="691"/>
      <c r="E207" s="448"/>
      <c r="F207" s="1334"/>
      <c r="G207" s="1318"/>
      <c r="H207" s="827"/>
      <c r="I207" s="538"/>
      <c r="J207" s="473"/>
      <c r="K207" s="1342"/>
      <c r="L207" s="1334"/>
      <c r="M207" s="538"/>
      <c r="N207" s="372"/>
      <c r="O207" s="435"/>
      <c r="P207" s="691"/>
      <c r="Q207" s="436"/>
      <c r="S207" s="374"/>
      <c r="T207" s="521"/>
      <c r="U207" s="1544" t="str">
        <f t="shared" si="162"/>
        <v>ICE Diesel Hybrid</v>
      </c>
      <c r="V207" s="375">
        <f>V67</f>
        <v>0</v>
      </c>
      <c r="W207" s="694">
        <f>AB207*74</f>
        <v>894.90320241962331</v>
      </c>
      <c r="X207" s="616"/>
      <c r="Y207" s="362">
        <f>Y206</f>
        <v>0.33569007762777142</v>
      </c>
      <c r="Z207" s="61">
        <f>1/((AB207/42700)/0.84*1000)</f>
        <v>2.965943124154137</v>
      </c>
      <c r="AA207" s="615">
        <f t="shared" si="163"/>
        <v>8.2690507531898549E-2</v>
      </c>
      <c r="AB207" s="61">
        <f>AB206</f>
        <v>12.093286519184099</v>
      </c>
      <c r="AC207" s="432">
        <f>AB207/H201</f>
        <v>1.4298489165529382</v>
      </c>
      <c r="AD207" s="748">
        <f>AC207*V207*D201</f>
        <v>0</v>
      </c>
      <c r="AE207" s="720"/>
      <c r="AF207" s="722">
        <f>AD207</f>
        <v>0</v>
      </c>
      <c r="AG207" s="733"/>
      <c r="AH207" s="892"/>
      <c r="AI207" s="733"/>
      <c r="AJ207" s="721"/>
      <c r="AK207" s="721"/>
      <c r="AL207" s="721"/>
      <c r="AM207" s="721"/>
      <c r="AN207" s="721"/>
      <c r="AO207" s="721"/>
      <c r="AP207" s="721"/>
      <c r="AQ207" s="721"/>
      <c r="AR207" s="645">
        <f>V207*T201</f>
        <v>0</v>
      </c>
      <c r="AT207" s="1526"/>
      <c r="AU207" s="1526"/>
      <c r="AV207" s="1526"/>
      <c r="AW207" s="1526"/>
      <c r="AX207" s="1526"/>
      <c r="AY207" s="1526"/>
      <c r="AZ207" s="212"/>
      <c r="BA207" s="212"/>
    </row>
    <row r="208" spans="2:63" ht="15.75" customHeight="1" x14ac:dyDescent="0.25">
      <c r="C208" s="569"/>
      <c r="D208" s="691"/>
      <c r="E208" s="448"/>
      <c r="F208" s="1334"/>
      <c r="G208" s="1318"/>
      <c r="H208" s="827"/>
      <c r="I208" s="538"/>
      <c r="J208" s="473"/>
      <c r="K208" s="1342"/>
      <c r="L208" s="1334"/>
      <c r="M208" s="538"/>
      <c r="N208" s="372"/>
      <c r="O208" s="435"/>
      <c r="P208" s="691"/>
      <c r="Q208" s="436"/>
      <c r="S208" s="374"/>
      <c r="T208" s="521"/>
      <c r="U208" s="477" t="str">
        <f t="shared" si="162"/>
        <v>ICE Diesel</v>
      </c>
      <c r="V208" s="375">
        <f>V68</f>
        <v>0</v>
      </c>
      <c r="W208" s="694">
        <f>AB208*74</f>
        <v>1306.1309803894983</v>
      </c>
      <c r="X208" s="616"/>
      <c r="Y208" s="362">
        <f>(Y68+Y348)/2</f>
        <v>0.22999999999999998</v>
      </c>
      <c r="Z208" s="61">
        <f>1/((AB208/42700)/0.84*1000)</f>
        <v>2.032133101389638</v>
      </c>
      <c r="AA208" s="615">
        <f t="shared" si="163"/>
        <v>5.6655879931683903E-2</v>
      </c>
      <c r="AB208" s="61">
        <f>AB212</f>
        <v>17.650418653912141</v>
      </c>
      <c r="AC208" s="411">
        <f>AB208/H201</f>
        <v>2.0868960599723509</v>
      </c>
      <c r="AD208" s="748">
        <f>AC208*V208*D201</f>
        <v>0</v>
      </c>
      <c r="AE208" s="720"/>
      <c r="AF208" s="722">
        <f>AD208</f>
        <v>0</v>
      </c>
      <c r="AG208" s="733"/>
      <c r="AH208" s="733"/>
      <c r="AI208" s="733"/>
      <c r="AJ208" s="721"/>
      <c r="AK208" s="721"/>
      <c r="AL208" s="721"/>
      <c r="AM208" s="721"/>
      <c r="AN208" s="721"/>
      <c r="AO208" s="721"/>
      <c r="AP208" s="721"/>
      <c r="AQ208" s="721"/>
      <c r="AR208" s="645">
        <f>V208*T201</f>
        <v>0</v>
      </c>
      <c r="AT208" s="212"/>
      <c r="AU208" s="212"/>
      <c r="AV208" s="212"/>
      <c r="AW208" s="212"/>
      <c r="AX208" s="212"/>
      <c r="AY208" s="212"/>
      <c r="AZ208" s="1526"/>
      <c r="BA208" s="1526"/>
    </row>
    <row r="209" spans="3:53" ht="15.75" customHeight="1" x14ac:dyDescent="0.25">
      <c r="C209" s="569"/>
      <c r="D209" s="691"/>
      <c r="E209" s="448"/>
      <c r="F209" s="1334"/>
      <c r="G209" s="1318"/>
      <c r="H209" s="827"/>
      <c r="I209" s="538"/>
      <c r="J209" s="473"/>
      <c r="K209" s="1342"/>
      <c r="L209" s="1334"/>
      <c r="M209" s="538"/>
      <c r="N209" s="372"/>
      <c r="O209" s="435"/>
      <c r="P209" s="691"/>
      <c r="Q209" s="436"/>
      <c r="S209" s="374"/>
      <c r="T209" s="521"/>
      <c r="U209" s="475" t="s">
        <v>483</v>
      </c>
      <c r="V209" s="375">
        <f>V69</f>
        <v>0</v>
      </c>
      <c r="W209" s="694"/>
      <c r="X209" s="616"/>
      <c r="Y209" s="362">
        <f>Y208</f>
        <v>0.22999999999999998</v>
      </c>
      <c r="Z209" s="61">
        <f>Z208</f>
        <v>2.032133101389638</v>
      </c>
      <c r="AA209" s="615">
        <f>AA208</f>
        <v>5.6655879931683903E-2</v>
      </c>
      <c r="AB209" s="61">
        <f>AB208</f>
        <v>17.650418653912141</v>
      </c>
      <c r="AC209" s="432">
        <f>AC208</f>
        <v>2.0868960599723509</v>
      </c>
      <c r="AD209" s="748">
        <f>AC209*V209*D201</f>
        <v>0</v>
      </c>
      <c r="AE209" s="720"/>
      <c r="AF209" s="741"/>
      <c r="AG209" s="733"/>
      <c r="AH209" s="892"/>
      <c r="AI209" s="733"/>
      <c r="AJ209" s="721"/>
      <c r="AK209" s="738">
        <f>AD209</f>
        <v>0</v>
      </c>
      <c r="AL209" s="721"/>
      <c r="AM209" s="721"/>
      <c r="AN209" s="721"/>
      <c r="AO209" s="721"/>
      <c r="AP209" s="721"/>
      <c r="AQ209" s="721"/>
      <c r="AR209" s="645">
        <f>V209*T201</f>
        <v>0</v>
      </c>
      <c r="AT209" s="212"/>
      <c r="AU209" s="212"/>
      <c r="AV209" s="212"/>
      <c r="AW209" s="212"/>
      <c r="AX209" s="212"/>
      <c r="AY209" s="212"/>
      <c r="AZ209" s="212"/>
      <c r="BA209" s="212"/>
    </row>
    <row r="210" spans="3:53" ht="15.75" customHeight="1" x14ac:dyDescent="0.25">
      <c r="C210" s="569"/>
      <c r="D210" s="691"/>
      <c r="E210" s="448"/>
      <c r="F210" s="400"/>
      <c r="G210" s="362"/>
      <c r="H210" s="829"/>
      <c r="I210" s="532"/>
      <c r="J210" s="436"/>
      <c r="K210" s="431"/>
      <c r="L210" s="432"/>
      <c r="M210" s="532"/>
      <c r="N210" s="372"/>
      <c r="O210" s="435"/>
      <c r="P210" s="691"/>
      <c r="Q210" s="436"/>
      <c r="R210" s="532"/>
      <c r="S210" s="374"/>
      <c r="T210" s="524"/>
      <c r="U210" s="477" t="str">
        <f t="shared" ref="U210:U220" si="164">U70</f>
        <v>ICE Syn-methanol</v>
      </c>
      <c r="V210" s="375">
        <f>V70</f>
        <v>0</v>
      </c>
      <c r="W210" s="517"/>
      <c r="X210" s="616"/>
      <c r="Y210" s="347">
        <f>Y208</f>
        <v>0.22999999999999998</v>
      </c>
      <c r="Z210" s="61">
        <f>Z208</f>
        <v>2.032133101389638</v>
      </c>
      <c r="AA210" s="905">
        <f>AA208</f>
        <v>5.6655879931683903E-2</v>
      </c>
      <c r="AB210" s="61">
        <f>AB208</f>
        <v>17.650418653912141</v>
      </c>
      <c r="AC210" s="61">
        <f>AC208</f>
        <v>2.0868960599723509</v>
      </c>
      <c r="AD210" s="748">
        <f>AC210*V210*D201</f>
        <v>0</v>
      </c>
      <c r="AE210" s="720"/>
      <c r="AF210" s="733"/>
      <c r="AG210" s="733"/>
      <c r="AH210" s="722">
        <f>AD210</f>
        <v>0</v>
      </c>
      <c r="AI210" s="733"/>
      <c r="AJ210" s="721"/>
      <c r="AK210" s="721"/>
      <c r="AL210" s="721"/>
      <c r="AM210" s="721"/>
      <c r="AN210" s="721"/>
      <c r="AO210" s="721"/>
      <c r="AP210" s="721"/>
      <c r="AQ210" s="721"/>
      <c r="AR210" s="645">
        <f>V210*T201</f>
        <v>0</v>
      </c>
      <c r="AT210" s="894"/>
      <c r="AU210" s="894"/>
      <c r="AV210" s="894"/>
      <c r="AW210" s="894"/>
      <c r="AX210" s="894"/>
      <c r="AY210" s="894"/>
      <c r="AZ210" s="212"/>
      <c r="BA210" s="212"/>
    </row>
    <row r="211" spans="3:53" ht="15.75" customHeight="1" thickBot="1" x14ac:dyDescent="0.3">
      <c r="C211" s="569"/>
      <c r="D211" s="691"/>
      <c r="E211" s="448"/>
      <c r="F211" s="400"/>
      <c r="G211" s="362"/>
      <c r="H211" s="829"/>
      <c r="I211" s="532"/>
      <c r="J211" s="436"/>
      <c r="K211" s="431"/>
      <c r="L211" s="432"/>
      <c r="M211" s="532"/>
      <c r="N211" s="372"/>
      <c r="O211" s="435"/>
      <c r="P211" s="691"/>
      <c r="Q211" s="436"/>
      <c r="R211" s="532"/>
      <c r="S211" s="374"/>
      <c r="T211" s="524"/>
      <c r="U211" s="477" t="str">
        <f t="shared" si="164"/>
        <v>ICE Hybrid Syn-methanol</v>
      </c>
      <c r="V211" s="295">
        <f>V71</f>
        <v>0</v>
      </c>
      <c r="W211" s="517"/>
      <c r="X211" s="616"/>
      <c r="Y211" s="347">
        <f>Y207</f>
        <v>0.33569007762777142</v>
      </c>
      <c r="Z211" s="61">
        <f>Z207</f>
        <v>2.965943124154137</v>
      </c>
      <c r="AA211" s="905">
        <f>AA207</f>
        <v>8.2690507531898549E-2</v>
      </c>
      <c r="AB211" s="61">
        <f>AB207</f>
        <v>12.093286519184099</v>
      </c>
      <c r="AC211" s="61">
        <f>AC207</f>
        <v>1.4298489165529382</v>
      </c>
      <c r="AD211" s="748">
        <f>AC211*V211*D201</f>
        <v>0</v>
      </c>
      <c r="AE211" s="720"/>
      <c r="AF211" s="721"/>
      <c r="AG211" s="733"/>
      <c r="AH211" s="722">
        <f>AD211</f>
        <v>0</v>
      </c>
      <c r="AI211" s="733"/>
      <c r="AJ211" s="721"/>
      <c r="AK211" s="721"/>
      <c r="AL211" s="721"/>
      <c r="AM211" s="721"/>
      <c r="AN211" s="721"/>
      <c r="AO211" s="721"/>
      <c r="AP211" s="721"/>
      <c r="AQ211" s="721"/>
      <c r="AR211" s="645">
        <f>V211*T201</f>
        <v>0</v>
      </c>
      <c r="AT211" s="212"/>
      <c r="AU211" s="212"/>
      <c r="AV211" s="212"/>
      <c r="AW211" s="212"/>
      <c r="AX211" s="212"/>
      <c r="AY211" s="212"/>
      <c r="AZ211" s="894"/>
      <c r="BA211" s="894"/>
    </row>
    <row r="212" spans="3:53" ht="15.75" customHeight="1" x14ac:dyDescent="0.25">
      <c r="C212" s="569"/>
      <c r="D212" s="695"/>
      <c r="E212" s="456"/>
      <c r="F212" s="438"/>
      <c r="G212" s="437"/>
      <c r="H212" s="830"/>
      <c r="I212" s="705"/>
      <c r="J212" s="443"/>
      <c r="K212" s="441"/>
      <c r="L212" s="439"/>
      <c r="M212" s="705"/>
      <c r="N212" s="409"/>
      <c r="O212" s="442"/>
      <c r="P212" s="695"/>
      <c r="Q212" s="443"/>
      <c r="R212" s="695"/>
      <c r="S212" s="374"/>
      <c r="T212" s="522"/>
      <c r="U212" s="1545" t="str">
        <f t="shared" si="164"/>
        <v>No shift in technology</v>
      </c>
      <c r="V212" s="412">
        <f>1-SUM(V202:V211)</f>
        <v>1</v>
      </c>
      <c r="W212" s="773">
        <f>AB212*74</f>
        <v>1306.1309803894983</v>
      </c>
      <c r="X212" s="406"/>
      <c r="Y212" s="437">
        <f>(Y72+Y352)/2</f>
        <v>0.22999999999999998</v>
      </c>
      <c r="Z212" s="476"/>
      <c r="AA212" s="617">
        <f>1/AB212</f>
        <v>5.6655879931683903E-2</v>
      </c>
      <c r="AB212" s="406">
        <f>L201</f>
        <v>17.650418653912141</v>
      </c>
      <c r="AC212" s="406">
        <f>K201</f>
        <v>2.0868960599723509</v>
      </c>
      <c r="AD212" s="747">
        <f>AC212*V212*D201</f>
        <v>25954.410377540898</v>
      </c>
      <c r="AE212" s="734"/>
      <c r="AF212" s="729">
        <f>+AD212*Q202</f>
        <v>24462.031780832298</v>
      </c>
      <c r="AG212" s="730"/>
      <c r="AH212" s="893"/>
      <c r="AI212" s="893"/>
      <c r="AJ212" s="730"/>
      <c r="AK212" s="907">
        <f>AD212*Q203</f>
        <v>1492.3785967086017</v>
      </c>
      <c r="AL212" s="730"/>
      <c r="AM212" s="730"/>
      <c r="AN212" s="730"/>
      <c r="AO212" s="730"/>
      <c r="AP212" s="730"/>
      <c r="AQ212" s="731"/>
      <c r="AR212" s="648">
        <f>T201-SUM(V202:V211)*T201</f>
        <v>48948.360237792942</v>
      </c>
      <c r="AT212" s="212"/>
      <c r="AU212" s="212"/>
      <c r="AV212" s="212"/>
      <c r="AW212" s="212"/>
      <c r="AX212" s="212"/>
      <c r="AY212" s="212"/>
      <c r="AZ212" s="212"/>
      <c r="BA212" s="212"/>
    </row>
    <row r="213" spans="3:53" ht="15.75" customHeight="1" thickBot="1" x14ac:dyDescent="0.3">
      <c r="C213" s="571" t="str">
        <f>C73</f>
        <v>International truck</v>
      </c>
      <c r="D213" s="693">
        <f>SUM(D214:D216)</f>
        <v>10801.240970554141</v>
      </c>
      <c r="E213" s="392">
        <f>D213/D281</f>
        <v>0.10106379046261636</v>
      </c>
      <c r="F213" s="1328">
        <f>((F214*I214)+(F215*I215)+(F216*I216))/(I214+I215+I216)</f>
        <v>30</v>
      </c>
      <c r="G213" s="1320">
        <f>H213/F213</f>
        <v>0.52729301514115456</v>
      </c>
      <c r="H213" s="1328">
        <f>((H214*I214)+(H215*I215)+(H216*I216))/(I214+I215+I216)</f>
        <v>15.818790454234636</v>
      </c>
      <c r="I213" s="759">
        <f>D213/H213</f>
        <v>682.81080034552747</v>
      </c>
      <c r="J213" s="795">
        <f>J215+J214+J216</f>
        <v>5.3819635012743783E-2</v>
      </c>
      <c r="K213" s="1324">
        <f>L213/H213</f>
        <v>1.458742324019674</v>
      </c>
      <c r="L213" s="1328">
        <f>((L214*I214)+(L215*I215)+(L216*I216))/(I214+I215+I216)</f>
        <v>23.075539150390465</v>
      </c>
      <c r="M213" s="759">
        <f>SUM(M214:M216)</f>
        <v>15756.227355682666</v>
      </c>
      <c r="N213" s="413">
        <f>M213/M281</f>
        <v>0.12897661071506478</v>
      </c>
      <c r="O213" s="682" t="s">
        <v>60</v>
      </c>
      <c r="P213" s="759">
        <f>SUM(P214+P215)</f>
        <v>15756.227355682666</v>
      </c>
      <c r="Q213" s="801">
        <f>SUM(Q214+Q215)</f>
        <v>1</v>
      </c>
      <c r="R213" s="759">
        <f>SUM(R214+R215)</f>
        <v>10801.240970554141</v>
      </c>
      <c r="S213" s="797">
        <f>SUM(S214+S215)</f>
        <v>0.99999999999999989</v>
      </c>
      <c r="T213" s="680">
        <f>I213/I201*T201</f>
        <v>22729.107008717627</v>
      </c>
      <c r="U213" s="481" t="str">
        <f t="shared" si="164"/>
        <v>Sum</v>
      </c>
      <c r="V213" s="4"/>
      <c r="W213" s="532"/>
      <c r="X213" s="4"/>
      <c r="Y213" s="4"/>
      <c r="Z213" s="4"/>
      <c r="AA213" s="615"/>
      <c r="AB213" s="4"/>
      <c r="AC213" s="4"/>
      <c r="AD213" s="748">
        <f>SUM(AD214:AD224)</f>
        <v>15756.227355682668</v>
      </c>
      <c r="AE213" s="720"/>
      <c r="AF213" s="733"/>
      <c r="AG213" s="733"/>
      <c r="AH213" s="733"/>
      <c r="AI213" s="733"/>
      <c r="AJ213" s="721"/>
      <c r="AK213" s="721"/>
      <c r="AL213" s="721"/>
      <c r="AM213" s="721"/>
      <c r="AN213" s="721"/>
      <c r="AO213" s="721"/>
      <c r="AP213" s="721"/>
      <c r="AQ213" s="721"/>
      <c r="AR213" s="644">
        <f>SUM(AR214:AR224)</f>
        <v>22729.107008717627</v>
      </c>
      <c r="AT213" s="212"/>
      <c r="AU213" s="212"/>
      <c r="AV213" s="212"/>
      <c r="AW213" s="212"/>
      <c r="AX213" s="212"/>
      <c r="AY213" s="212"/>
      <c r="AZ213" s="212"/>
      <c r="BA213" s="212"/>
    </row>
    <row r="214" spans="3:53" ht="15.75" customHeight="1" x14ac:dyDescent="0.25">
      <c r="C214" s="569" t="str">
        <f>C74</f>
        <v>&lt;250km</v>
      </c>
      <c r="D214" s="691">
        <f>(D74*(1+'Growth, Modal Shift, InfraCosts'!C52)^'Growth, Modal Shift, InfraCosts'!$D$4)</f>
        <v>486.43465605</v>
      </c>
      <c r="E214" s="448">
        <f>D214/D281</f>
        <v>4.5514149982221839E-3</v>
      </c>
      <c r="F214" s="1334">
        <v>30</v>
      </c>
      <c r="G214" s="881">
        <v>0.39400000000000002</v>
      </c>
      <c r="H214" s="827">
        <f>G214*F214</f>
        <v>11.82</v>
      </c>
      <c r="I214" s="538">
        <f>D214/H214</f>
        <v>41.153524200507611</v>
      </c>
      <c r="J214" s="473">
        <f>I214/I281</f>
        <v>3.2437501733110158E-3</v>
      </c>
      <c r="K214" s="1342">
        <f>L214/H214</f>
        <v>5.6553270900337322</v>
      </c>
      <c r="L214" s="1343">
        <f>L74*$AV$6</f>
        <v>66.845966204198717</v>
      </c>
      <c r="M214" s="538">
        <f>D214*K214</f>
        <v>2750.947087890806</v>
      </c>
      <c r="N214" s="372">
        <f>M214/M281</f>
        <v>2.2518577806930923E-2</v>
      </c>
      <c r="O214" s="450" t="s">
        <v>3</v>
      </c>
      <c r="P214" s="532">
        <f>Q214*M213</f>
        <v>14850.244282730913</v>
      </c>
      <c r="Q214" s="436">
        <f>1-Q215</f>
        <v>0.9425</v>
      </c>
      <c r="R214" s="532">
        <f>S214*D213</f>
        <v>10250.56724577358</v>
      </c>
      <c r="S214" s="367">
        <f>Q214*Z220/(Q214*Z220+Q215*Z217)</f>
        <v>0.94901755027206747</v>
      </c>
      <c r="T214" s="525">
        <f>S214*T213</f>
        <v>21570.32145328488</v>
      </c>
      <c r="U214" s="477" t="str">
        <f t="shared" si="164"/>
        <v>Fuel cell hybrid truck Syn-methanol</v>
      </c>
      <c r="V214" s="294">
        <f t="shared" ref="V214:V221" si="165">V74</f>
        <v>0</v>
      </c>
      <c r="W214" s="532"/>
      <c r="X214" s="616"/>
      <c r="Y214" s="347">
        <f>Y160</f>
        <v>0.5</v>
      </c>
      <c r="Z214" s="411"/>
      <c r="AA214" s="615">
        <f t="shared" ref="AA214:AA220" si="166">1/AB214</f>
        <v>0.10318079094208693</v>
      </c>
      <c r="AB214" s="616">
        <f>AB74*AB224/AB84</f>
        <v>9.6917264431639953</v>
      </c>
      <c r="AC214" s="432">
        <f>AB214/H213</f>
        <v>0.61267177608826306</v>
      </c>
      <c r="AD214" s="748">
        <f>AC214*V214*D213</f>
        <v>0</v>
      </c>
      <c r="AE214" s="720"/>
      <c r="AF214" s="733"/>
      <c r="AG214" s="733"/>
      <c r="AH214" s="722">
        <f>AD214</f>
        <v>0</v>
      </c>
      <c r="AI214" s="733"/>
      <c r="AJ214" s="721"/>
      <c r="AK214" s="721"/>
      <c r="AL214" s="721"/>
      <c r="AM214" s="721"/>
      <c r="AN214" s="721"/>
      <c r="AO214" s="721"/>
      <c r="AP214" s="721"/>
      <c r="AR214" s="645">
        <f>V214*T213</f>
        <v>0</v>
      </c>
      <c r="AT214" s="212"/>
      <c r="AU214" s="212"/>
      <c r="AV214" s="212"/>
      <c r="AW214" s="212"/>
      <c r="AX214" s="212"/>
      <c r="AY214" s="212"/>
      <c r="AZ214" s="212"/>
      <c r="BA214" s="212"/>
    </row>
    <row r="215" spans="3:53" ht="15.75" customHeight="1" x14ac:dyDescent="0.25">
      <c r="C215" s="569" t="str">
        <f>C75</f>
        <v>250-1000km</v>
      </c>
      <c r="D215" s="691">
        <f>(D75*(1+'Growth, Modal Shift, InfraCosts'!C53)^'Growth, Modal Shift, InfraCosts'!$D$4)</f>
        <v>5253.299321550001</v>
      </c>
      <c r="E215" s="448">
        <f>D215/D281</f>
        <v>4.9153457766371457E-2</v>
      </c>
      <c r="F215" s="1334">
        <v>30</v>
      </c>
      <c r="G215" s="882">
        <v>0.47499999999999998</v>
      </c>
      <c r="H215" s="827">
        <f>G215*F215</f>
        <v>14.25</v>
      </c>
      <c r="I215" s="538">
        <f>D215/H215</f>
        <v>368.65258396842114</v>
      </c>
      <c r="J215" s="473">
        <f>I215/I281</f>
        <v>2.9057459995719393E-2</v>
      </c>
      <c r="K215" s="1342">
        <f>L215/H215</f>
        <v>1.9545604153274481</v>
      </c>
      <c r="L215" s="1344">
        <f>L75*$AV$6</f>
        <v>27.852485918416136</v>
      </c>
      <c r="M215" s="538">
        <f>D215*K215</f>
        <v>10267.890903768171</v>
      </c>
      <c r="N215" s="372">
        <f>M215/M281</f>
        <v>8.4050435301851092E-2</v>
      </c>
      <c r="O215" s="917" t="s">
        <v>74</v>
      </c>
      <c r="P215" s="912">
        <f>Q215*M213</f>
        <v>905.98307295175334</v>
      </c>
      <c r="Q215" s="913">
        <v>5.7500000000000002E-2</v>
      </c>
      <c r="R215" s="912">
        <f>S215*D213</f>
        <v>550.67372478056109</v>
      </c>
      <c r="S215" s="914">
        <f>Q215*Z217/(Q214*Z220+Q215*Z217)</f>
        <v>5.098244972793247E-2</v>
      </c>
      <c r="T215" s="520">
        <f>S215*T213</f>
        <v>1158.7855554327439</v>
      </c>
      <c r="U215" s="477" t="str">
        <f t="shared" si="164"/>
        <v>ICE Biogas</v>
      </c>
      <c r="V215" s="375">
        <f t="shared" si="165"/>
        <v>0</v>
      </c>
      <c r="W215" s="532"/>
      <c r="X215" s="616"/>
      <c r="Y215" s="347">
        <f>Y203</f>
        <v>0.2</v>
      </c>
      <c r="Z215" s="411"/>
      <c r="AA215" s="615">
        <f t="shared" si="166"/>
        <v>3.7683419300588272E-2</v>
      </c>
      <c r="AB215" s="61">
        <f>AB224*Y224/Y215</f>
        <v>26.536870022949035</v>
      </c>
      <c r="AC215" s="432">
        <f>AB215/H213</f>
        <v>1.677553672622625</v>
      </c>
      <c r="AD215" s="748">
        <f>AC215*V215*D213</f>
        <v>0</v>
      </c>
      <c r="AE215" s="720"/>
      <c r="AF215" s="733"/>
      <c r="AG215" s="733"/>
      <c r="AH215" s="892"/>
      <c r="AI215" s="733"/>
      <c r="AJ215" s="741"/>
      <c r="AK215" s="741"/>
      <c r="AL215" s="722">
        <f>AD215</f>
        <v>0</v>
      </c>
      <c r="AM215" s="721"/>
      <c r="AN215" s="721"/>
      <c r="AO215" s="721"/>
      <c r="AP215" s="721"/>
      <c r="AQ215" s="721"/>
      <c r="AR215" s="645">
        <f>V215*T213</f>
        <v>0</v>
      </c>
      <c r="AT215" s="212"/>
      <c r="AU215" s="212"/>
      <c r="AV215" s="212"/>
      <c r="AW215" s="212"/>
      <c r="AX215" s="212"/>
      <c r="AY215" s="212"/>
      <c r="AZ215" s="212"/>
      <c r="BA215" s="212"/>
    </row>
    <row r="216" spans="3:53" ht="15.75" customHeight="1" thickBot="1" x14ac:dyDescent="0.3">
      <c r="C216" s="569" t="str">
        <f>C76</f>
        <v>&gt;1000km</v>
      </c>
      <c r="D216" s="691">
        <f>(D76*(1+'Growth, Modal Shift, InfraCosts'!C54)^'Growth, Modal Shift, InfraCosts'!$D$4)*(1-'Growth, Modal Shift, InfraCosts'!R53)</f>
        <v>5061.5069929541405</v>
      </c>
      <c r="E216" s="448">
        <f>D216/D281</f>
        <v>4.7358917698022723E-2</v>
      </c>
      <c r="F216" s="1334">
        <v>30</v>
      </c>
      <c r="G216" s="883">
        <v>0.61799999999999999</v>
      </c>
      <c r="H216" s="827">
        <f>G216*F216</f>
        <v>18.54</v>
      </c>
      <c r="I216" s="538">
        <f>D216/H216</f>
        <v>273.00469217659872</v>
      </c>
      <c r="J216" s="473">
        <f>I216/I281</f>
        <v>2.1518424843713375E-2</v>
      </c>
      <c r="K216" s="1342">
        <f>L216/H216</f>
        <v>0.54082496928963375</v>
      </c>
      <c r="L216" s="1345">
        <f>L76*$AV$6</f>
        <v>10.026894930629808</v>
      </c>
      <c r="M216" s="538">
        <f>D216*K216</f>
        <v>2737.3893640236897</v>
      </c>
      <c r="N216" s="372">
        <f>M216/M281</f>
        <v>2.2407597606282782E-2</v>
      </c>
      <c r="T216" s="524"/>
      <c r="U216" s="477" t="str">
        <f t="shared" si="164"/>
        <v>ICE hybrid vehicle Biogas</v>
      </c>
      <c r="V216" s="375">
        <f t="shared" si="165"/>
        <v>0</v>
      </c>
      <c r="W216" s="532"/>
      <c r="X216" s="616"/>
      <c r="Y216" s="347">
        <f>Y215*((Y155/Y154))</f>
        <v>0.29190441532849692</v>
      </c>
      <c r="Z216" s="411"/>
      <c r="AA216" s="615">
        <f t="shared" si="166"/>
        <v>5.499978239258408E-2</v>
      </c>
      <c r="AB216" s="61">
        <f>AB224*Y224/Y216</f>
        <v>18.181890118438641</v>
      </c>
      <c r="AC216" s="432">
        <f>AB216/H213</f>
        <v>1.149385610172958</v>
      </c>
      <c r="AD216" s="748">
        <f>AC216*V216*D213</f>
        <v>0</v>
      </c>
      <c r="AE216" s="720"/>
      <c r="AF216" s="733"/>
      <c r="AG216" s="733"/>
      <c r="AH216" s="892"/>
      <c r="AI216" s="733"/>
      <c r="AJ216" s="741"/>
      <c r="AK216" s="741"/>
      <c r="AL216" s="722">
        <f>AD216</f>
        <v>0</v>
      </c>
      <c r="AM216" s="721"/>
      <c r="AN216" s="721"/>
      <c r="AO216" s="721"/>
      <c r="AP216" s="721"/>
      <c r="AQ216" s="721"/>
      <c r="AR216" s="645">
        <f>V216*T213</f>
        <v>0</v>
      </c>
      <c r="AT216" s="212"/>
      <c r="AU216" s="212"/>
      <c r="AV216" s="212"/>
      <c r="AW216" s="212"/>
      <c r="AX216" s="212"/>
      <c r="AY216" s="212"/>
      <c r="AZ216" s="212"/>
      <c r="BA216" s="212"/>
    </row>
    <row r="217" spans="3:53" ht="15.75" customHeight="1" x14ac:dyDescent="0.25">
      <c r="C217" s="569"/>
      <c r="D217" s="691"/>
      <c r="E217" s="448"/>
      <c r="F217" s="1334"/>
      <c r="G217" s="381"/>
      <c r="H217" s="827"/>
      <c r="I217" s="538"/>
      <c r="J217" s="473"/>
      <c r="K217" s="1342"/>
      <c r="L217" s="1334"/>
      <c r="M217" s="538"/>
      <c r="N217" s="372"/>
      <c r="T217" s="524"/>
      <c r="U217" s="477" t="str">
        <f t="shared" si="164"/>
        <v>ICE Bio-methanol</v>
      </c>
      <c r="V217" s="375">
        <f t="shared" si="165"/>
        <v>0</v>
      </c>
      <c r="W217" s="694"/>
      <c r="X217" s="616"/>
      <c r="Y217" s="347">
        <f>Y224</f>
        <v>0.22999999999999998</v>
      </c>
      <c r="Z217" s="61">
        <f>1/((AB217/37600)/0.84*1000)</f>
        <v>1.3687220824682469</v>
      </c>
      <c r="AA217" s="615">
        <f t="shared" si="166"/>
        <v>4.333593219567651E-2</v>
      </c>
      <c r="AB217" s="61">
        <f>AB224</f>
        <v>23.075539150390465</v>
      </c>
      <c r="AC217" s="432">
        <f>AB217/H213</f>
        <v>1.458742324019674</v>
      </c>
      <c r="AD217" s="748">
        <f>AC217*V217*D213</f>
        <v>0</v>
      </c>
      <c r="AE217" s="720"/>
      <c r="AF217" s="733"/>
      <c r="AG217" s="733"/>
      <c r="AH217" s="892"/>
      <c r="AI217" s="722">
        <f>+AD217</f>
        <v>0</v>
      </c>
      <c r="AJ217" s="721"/>
      <c r="AK217" s="721"/>
      <c r="AL217" s="721"/>
      <c r="AM217" s="721"/>
      <c r="AN217" s="721"/>
      <c r="AO217" s="721"/>
      <c r="AP217" s="721"/>
      <c r="AQ217" s="721"/>
      <c r="AR217" s="645">
        <f>V217*T213</f>
        <v>0</v>
      </c>
      <c r="AT217" s="212"/>
      <c r="AU217" s="212"/>
      <c r="AV217" s="212"/>
      <c r="AW217" s="212"/>
      <c r="AX217" s="212"/>
      <c r="AY217" s="212"/>
      <c r="AZ217" s="212"/>
      <c r="BA217" s="212"/>
    </row>
    <row r="218" spans="3:53" ht="15.75" customHeight="1" x14ac:dyDescent="0.25">
      <c r="C218" s="569"/>
      <c r="D218" s="691"/>
      <c r="E218" s="448"/>
      <c r="F218" s="1334"/>
      <c r="G218" s="381"/>
      <c r="H218" s="827"/>
      <c r="I218" s="538"/>
      <c r="J218" s="473"/>
      <c r="K218" s="1342"/>
      <c r="L218" s="1334"/>
      <c r="M218" s="538"/>
      <c r="N218" s="372"/>
      <c r="O218" s="435"/>
      <c r="P218" s="691"/>
      <c r="Q218" s="436"/>
      <c r="R218" s="691"/>
      <c r="S218" s="374"/>
      <c r="T218" s="521"/>
      <c r="U218" s="477" t="str">
        <f t="shared" si="164"/>
        <v>ICE hybrid vehicle Bio-methanol</v>
      </c>
      <c r="V218" s="375">
        <f t="shared" si="165"/>
        <v>0</v>
      </c>
      <c r="W218" s="694"/>
      <c r="X218" s="616"/>
      <c r="Y218" s="347">
        <f>Y217*((Y155/Y154))</f>
        <v>0.33569007762777142</v>
      </c>
      <c r="Z218" s="61">
        <f>1/((AB218/37600)/0.84*1000)</f>
        <v>1.9976800961504817</v>
      </c>
      <c r="AA218" s="615">
        <f t="shared" si="166"/>
        <v>6.3249749751471684E-2</v>
      </c>
      <c r="AB218" s="616">
        <f>AB224*Y224/Y218</f>
        <v>15.810339233424907</v>
      </c>
      <c r="AC218" s="432">
        <f>AB218/H213</f>
        <v>0.99946574797648535</v>
      </c>
      <c r="AD218" s="748">
        <f>AC218*V218*D213</f>
        <v>0</v>
      </c>
      <c r="AE218" s="720"/>
      <c r="AF218" s="733"/>
      <c r="AG218" s="733"/>
      <c r="AH218" s="892"/>
      <c r="AI218" s="722">
        <f>+AD218</f>
        <v>0</v>
      </c>
      <c r="AJ218" s="721"/>
      <c r="AK218" s="721"/>
      <c r="AL218" s="721"/>
      <c r="AM218" s="721"/>
      <c r="AN218" s="721"/>
      <c r="AO218" s="721"/>
      <c r="AP218" s="721"/>
      <c r="AQ218" s="721"/>
      <c r="AR218" s="645">
        <f>V218*T213</f>
        <v>0</v>
      </c>
      <c r="AT218" s="212"/>
      <c r="AU218" s="212"/>
      <c r="AV218" s="212"/>
      <c r="AW218" s="212"/>
      <c r="AX218" s="212"/>
      <c r="AY218" s="212"/>
      <c r="AZ218" s="212"/>
      <c r="BA218" s="212"/>
    </row>
    <row r="219" spans="3:53" ht="15.75" customHeight="1" x14ac:dyDescent="0.25">
      <c r="C219" s="569"/>
      <c r="D219" s="691"/>
      <c r="E219" s="448"/>
      <c r="F219" s="1334"/>
      <c r="G219" s="381"/>
      <c r="H219" s="827"/>
      <c r="I219" s="538"/>
      <c r="J219" s="473"/>
      <c r="K219" s="1342"/>
      <c r="L219" s="1334"/>
      <c r="M219" s="538"/>
      <c r="N219" s="372"/>
      <c r="O219" s="435"/>
      <c r="P219" s="691"/>
      <c r="Q219" s="436"/>
      <c r="R219" s="691"/>
      <c r="S219" s="374"/>
      <c r="T219" s="521"/>
      <c r="U219" s="1544" t="str">
        <f t="shared" si="164"/>
        <v>ICE Diesel Hybrid</v>
      </c>
      <c r="V219" s="375">
        <f t="shared" si="165"/>
        <v>0</v>
      </c>
      <c r="W219" s="694">
        <f>AB219*74</f>
        <v>1169.9651032734432</v>
      </c>
      <c r="X219" s="616"/>
      <c r="Y219" s="347">
        <f>Y218</f>
        <v>0.33569007762777142</v>
      </c>
      <c r="Z219" s="61">
        <f>1/((AB219/42700)/0.84*1000)</f>
        <v>2.2686420240857861</v>
      </c>
      <c r="AA219" s="615">
        <f t="shared" si="166"/>
        <v>6.3249749751471684E-2</v>
      </c>
      <c r="AB219" s="61">
        <f>AB218</f>
        <v>15.810339233424907</v>
      </c>
      <c r="AC219" s="432">
        <f>AB219/H213</f>
        <v>0.99946574797648535</v>
      </c>
      <c r="AD219" s="748">
        <f>AC219*V219*D213</f>
        <v>0</v>
      </c>
      <c r="AE219" s="720"/>
      <c r="AF219" s="722">
        <f>AD219</f>
        <v>0</v>
      </c>
      <c r="AG219" s="733"/>
      <c r="AH219" s="892"/>
      <c r="AI219" s="733"/>
      <c r="AJ219" s="721"/>
      <c r="AK219" s="721"/>
      <c r="AL219" s="721"/>
      <c r="AM219" s="721"/>
      <c r="AN219" s="721"/>
      <c r="AO219" s="721"/>
      <c r="AP219" s="721"/>
      <c r="AQ219" s="721"/>
      <c r="AR219" s="645">
        <f>V219*T213</f>
        <v>0</v>
      </c>
      <c r="AT219" s="1526"/>
      <c r="AU219" s="1526"/>
      <c r="AV219" s="1526"/>
      <c r="AW219" s="1526"/>
      <c r="AX219" s="1526"/>
      <c r="AY219" s="1526"/>
      <c r="AZ219" s="212"/>
      <c r="BA219" s="212"/>
    </row>
    <row r="220" spans="3:53" ht="15.75" customHeight="1" x14ac:dyDescent="0.25">
      <c r="C220" s="569"/>
      <c r="D220" s="691"/>
      <c r="E220" s="448"/>
      <c r="F220" s="1334"/>
      <c r="G220" s="381"/>
      <c r="H220" s="827"/>
      <c r="I220" s="538"/>
      <c r="J220" s="473"/>
      <c r="K220" s="1342"/>
      <c r="L220" s="1334"/>
      <c r="M220" s="538"/>
      <c r="N220" s="372"/>
      <c r="O220" s="435"/>
      <c r="P220" s="691"/>
      <c r="Q220" s="436"/>
      <c r="R220" s="691"/>
      <c r="S220" s="374"/>
      <c r="T220" s="521"/>
      <c r="U220" s="477" t="str">
        <f t="shared" si="164"/>
        <v>ICE Diesel</v>
      </c>
      <c r="V220" s="375">
        <f t="shared" si="165"/>
        <v>0</v>
      </c>
      <c r="W220" s="694">
        <f>AB220*74</f>
        <v>1707.5898971288943</v>
      </c>
      <c r="X220" s="616"/>
      <c r="Y220" s="347">
        <f>Y224</f>
        <v>0.22999999999999998</v>
      </c>
      <c r="Z220" s="61">
        <f>1/((AB220/42700)/0.84*1000)</f>
        <v>1.5543732159945247</v>
      </c>
      <c r="AA220" s="615">
        <f t="shared" si="166"/>
        <v>4.333593219567651E-2</v>
      </c>
      <c r="AB220" s="61">
        <f>AB224</f>
        <v>23.075539150390465</v>
      </c>
      <c r="AC220" s="432">
        <f>AB220/H213</f>
        <v>1.458742324019674</v>
      </c>
      <c r="AD220" s="748">
        <f>AC220*V220*D213</f>
        <v>0</v>
      </c>
      <c r="AE220" s="720"/>
      <c r="AF220" s="722">
        <f>AD220</f>
        <v>0</v>
      </c>
      <c r="AG220" s="733"/>
      <c r="AH220" s="733"/>
      <c r="AI220" s="733"/>
      <c r="AJ220" s="721"/>
      <c r="AK220" s="721"/>
      <c r="AL220" s="721"/>
      <c r="AM220" s="721"/>
      <c r="AN220" s="721"/>
      <c r="AO220" s="721"/>
      <c r="AP220" s="721"/>
      <c r="AQ220" s="721"/>
      <c r="AR220" s="645">
        <f>V220*T213</f>
        <v>0</v>
      </c>
      <c r="AT220" s="212"/>
      <c r="AU220" s="212"/>
      <c r="AV220" s="212"/>
      <c r="AW220" s="212"/>
      <c r="AX220" s="212"/>
      <c r="AY220" s="212"/>
      <c r="AZ220" s="1526"/>
      <c r="BA220" s="1526"/>
    </row>
    <row r="221" spans="3:53" ht="15.75" customHeight="1" x14ac:dyDescent="0.25">
      <c r="C221" s="569"/>
      <c r="D221" s="691"/>
      <c r="E221" s="448"/>
      <c r="F221" s="400"/>
      <c r="G221" s="373"/>
      <c r="H221" s="829"/>
      <c r="I221" s="532"/>
      <c r="J221" s="436"/>
      <c r="K221" s="431"/>
      <c r="L221" s="432"/>
      <c r="M221" s="532"/>
      <c r="N221" s="372"/>
      <c r="O221" s="435"/>
      <c r="P221" s="691"/>
      <c r="Q221" s="436"/>
      <c r="R221" s="691"/>
      <c r="S221" s="374"/>
      <c r="T221" s="521"/>
      <c r="U221" s="475" t="s">
        <v>483</v>
      </c>
      <c r="V221" s="375">
        <f t="shared" si="165"/>
        <v>0</v>
      </c>
      <c r="W221" s="694"/>
      <c r="X221" s="616"/>
      <c r="Y221" s="347">
        <f>Y220</f>
        <v>0.22999999999999998</v>
      </c>
      <c r="Z221" s="61">
        <f>Z220</f>
        <v>1.5543732159945247</v>
      </c>
      <c r="AA221" s="615">
        <f>AA220</f>
        <v>4.333593219567651E-2</v>
      </c>
      <c r="AB221" s="61">
        <f>AB220</f>
        <v>23.075539150390465</v>
      </c>
      <c r="AC221" s="432">
        <f>AC220</f>
        <v>1.458742324019674</v>
      </c>
      <c r="AD221" s="748">
        <f>AC221*V221*D213</f>
        <v>0</v>
      </c>
      <c r="AE221" s="720"/>
      <c r="AF221" s="741"/>
      <c r="AG221" s="733"/>
      <c r="AH221" s="892"/>
      <c r="AI221" s="733"/>
      <c r="AJ221" s="721"/>
      <c r="AK221" s="738">
        <f>AD221</f>
        <v>0</v>
      </c>
      <c r="AL221" s="721"/>
      <c r="AM221" s="721"/>
      <c r="AN221" s="721"/>
      <c r="AO221" s="721"/>
      <c r="AP221" s="721"/>
      <c r="AQ221" s="721"/>
      <c r="AR221" s="645">
        <f>V221*T213</f>
        <v>0</v>
      </c>
      <c r="AT221" s="212"/>
      <c r="AU221" s="212"/>
      <c r="AV221" s="212"/>
      <c r="AW221" s="212"/>
      <c r="AX221" s="212"/>
      <c r="AY221" s="212"/>
      <c r="AZ221" s="212"/>
      <c r="BA221" s="212"/>
    </row>
    <row r="222" spans="3:53" ht="15.75" customHeight="1" x14ac:dyDescent="0.25">
      <c r="C222" s="569"/>
      <c r="D222" s="691"/>
      <c r="E222" s="448"/>
      <c r="F222" s="400"/>
      <c r="G222" s="373"/>
      <c r="H222" s="829"/>
      <c r="I222" s="532"/>
      <c r="J222" s="436"/>
      <c r="K222" s="431"/>
      <c r="L222" s="432"/>
      <c r="M222" s="532"/>
      <c r="N222" s="372"/>
      <c r="O222" s="435"/>
      <c r="P222" s="691"/>
      <c r="Q222" s="436"/>
      <c r="R222" s="691"/>
      <c r="S222" s="374"/>
      <c r="T222" s="524"/>
      <c r="U222" s="477" t="str">
        <f t="shared" ref="U222:U229" si="167">U82</f>
        <v>ICE Syn-methanol</v>
      </c>
      <c r="V222" s="375">
        <f>V82</f>
        <v>0</v>
      </c>
      <c r="W222" s="517"/>
      <c r="X222" s="616"/>
      <c r="Y222" s="347">
        <f>Y220</f>
        <v>0.22999999999999998</v>
      </c>
      <c r="Z222" s="61">
        <f>Z220</f>
        <v>1.5543732159945247</v>
      </c>
      <c r="AA222" s="905">
        <f>AA220</f>
        <v>4.333593219567651E-2</v>
      </c>
      <c r="AB222" s="61">
        <f>AB220</f>
        <v>23.075539150390465</v>
      </c>
      <c r="AC222" s="61">
        <f>AC220</f>
        <v>1.458742324019674</v>
      </c>
      <c r="AD222" s="748">
        <f>AC222*V222*D213</f>
        <v>0</v>
      </c>
      <c r="AE222" s="720"/>
      <c r="AF222" s="733"/>
      <c r="AG222" s="733"/>
      <c r="AH222" s="722">
        <f>AD222</f>
        <v>0</v>
      </c>
      <c r="AI222" s="733"/>
      <c r="AJ222" s="721"/>
      <c r="AK222" s="721"/>
      <c r="AL222" s="721"/>
      <c r="AM222" s="721"/>
      <c r="AN222" s="721"/>
      <c r="AO222" s="721"/>
      <c r="AP222" s="721"/>
      <c r="AQ222" s="721"/>
      <c r="AR222" s="645">
        <f>V222*T213</f>
        <v>0</v>
      </c>
      <c r="AT222" s="894"/>
      <c r="AU222" s="894"/>
      <c r="AV222" s="894"/>
      <c r="AW222" s="894"/>
      <c r="AX222" s="894"/>
      <c r="AY222" s="894"/>
      <c r="AZ222" s="212"/>
      <c r="BA222" s="212"/>
    </row>
    <row r="223" spans="3:53" ht="15.75" customHeight="1" thickBot="1" x14ac:dyDescent="0.3">
      <c r="C223" s="569"/>
      <c r="D223" s="691"/>
      <c r="E223" s="448"/>
      <c r="F223" s="400"/>
      <c r="G223" s="373"/>
      <c r="H223" s="829"/>
      <c r="I223" s="532"/>
      <c r="J223" s="436"/>
      <c r="K223" s="431"/>
      <c r="L223" s="432"/>
      <c r="M223" s="532"/>
      <c r="N223" s="372"/>
      <c r="O223" s="435"/>
      <c r="P223" s="691"/>
      <c r="Q223" s="436"/>
      <c r="R223" s="691"/>
      <c r="S223" s="374"/>
      <c r="T223" s="524"/>
      <c r="U223" s="477" t="str">
        <f t="shared" si="167"/>
        <v>ICE Hybrid Syn-methanol</v>
      </c>
      <c r="V223" s="295">
        <f>V83</f>
        <v>0</v>
      </c>
      <c r="W223" s="517"/>
      <c r="X223" s="616"/>
      <c r="Y223" s="347">
        <f>Y219</f>
        <v>0.33569007762777142</v>
      </c>
      <c r="Z223" s="61">
        <f>Z219</f>
        <v>2.2686420240857861</v>
      </c>
      <c r="AA223" s="905">
        <f>AA219</f>
        <v>6.3249749751471684E-2</v>
      </c>
      <c r="AB223" s="61">
        <f>AB219</f>
        <v>15.810339233424907</v>
      </c>
      <c r="AC223" s="61">
        <f>AC219</f>
        <v>0.99946574797648535</v>
      </c>
      <c r="AD223" s="748">
        <f>AC223*V223*D213</f>
        <v>0</v>
      </c>
      <c r="AE223" s="720"/>
      <c r="AF223" s="721"/>
      <c r="AG223" s="733"/>
      <c r="AH223" s="722">
        <f>AD223</f>
        <v>0</v>
      </c>
      <c r="AI223" s="733"/>
      <c r="AJ223" s="721"/>
      <c r="AK223" s="721"/>
      <c r="AL223" s="721"/>
      <c r="AM223" s="721"/>
      <c r="AN223" s="721"/>
      <c r="AO223" s="721"/>
      <c r="AP223" s="721"/>
      <c r="AQ223" s="723"/>
      <c r="AR223" s="645">
        <f>V223*T213</f>
        <v>0</v>
      </c>
      <c r="AT223" s="212"/>
      <c r="AU223" s="212"/>
      <c r="AV223" s="212"/>
      <c r="AW223" s="212"/>
      <c r="AX223" s="212"/>
      <c r="AY223" s="212"/>
      <c r="AZ223" s="894"/>
      <c r="BA223" s="894"/>
    </row>
    <row r="224" spans="3:53" ht="15.75" customHeight="1" thickBot="1" x14ac:dyDescent="0.3">
      <c r="C224" s="570"/>
      <c r="D224" s="691"/>
      <c r="E224" s="456"/>
      <c r="F224" s="438"/>
      <c r="G224" s="388"/>
      <c r="H224" s="830"/>
      <c r="I224" s="705"/>
      <c r="J224" s="443"/>
      <c r="K224" s="441"/>
      <c r="L224" s="439"/>
      <c r="M224" s="705"/>
      <c r="N224" s="409"/>
      <c r="O224" s="442"/>
      <c r="P224" s="695"/>
      <c r="Q224" s="443"/>
      <c r="R224" s="695"/>
      <c r="S224" s="445"/>
      <c r="T224" s="523"/>
      <c r="U224" s="1545" t="str">
        <f t="shared" si="167"/>
        <v>No shift in technology</v>
      </c>
      <c r="V224" s="412">
        <f>1-SUM(V214:V223)</f>
        <v>1</v>
      </c>
      <c r="W224" s="532">
        <f>AB224*74</f>
        <v>1707.5898971288943</v>
      </c>
      <c r="X224" s="411"/>
      <c r="Y224" s="362">
        <f>Y212</f>
        <v>0.22999999999999998</v>
      </c>
      <c r="Z224" s="411"/>
      <c r="AA224" s="615">
        <f>1/AB224</f>
        <v>4.333593219567651E-2</v>
      </c>
      <c r="AB224" s="411">
        <f>L213</f>
        <v>23.075539150390465</v>
      </c>
      <c r="AC224" s="432">
        <f>K213</f>
        <v>1.458742324019674</v>
      </c>
      <c r="AD224" s="747">
        <f>AC224*V224*D213</f>
        <v>15756.227355682668</v>
      </c>
      <c r="AE224" s="734"/>
      <c r="AF224" s="729">
        <f>+AD224*Q214</f>
        <v>14850.244282730915</v>
      </c>
      <c r="AG224" s="730"/>
      <c r="AH224" s="893"/>
      <c r="AI224" s="893"/>
      <c r="AJ224" s="730"/>
      <c r="AK224" s="907">
        <f>AD224*Q215</f>
        <v>905.98307295175346</v>
      </c>
      <c r="AL224" s="730"/>
      <c r="AM224" s="730"/>
      <c r="AN224" s="730"/>
      <c r="AO224" s="730"/>
      <c r="AP224" s="730"/>
      <c r="AQ224" s="731"/>
      <c r="AR224" s="648">
        <f>T213-SUM(V214:V223)*T213</f>
        <v>22729.107008717627</v>
      </c>
      <c r="AT224" s="212"/>
      <c r="AU224" s="212"/>
      <c r="AV224" s="212"/>
      <c r="AW224" s="212"/>
      <c r="AX224" s="212"/>
      <c r="AY224" s="212"/>
      <c r="AZ224" s="212"/>
      <c r="BA224" s="212"/>
    </row>
    <row r="225" spans="3:53" ht="15.75" customHeight="1" thickBot="1" x14ac:dyDescent="0.3">
      <c r="C225" s="571" t="str">
        <f>C85</f>
        <v>Vans (2-6 t)</v>
      </c>
      <c r="D225" s="693">
        <f>SUM(D226:D227)</f>
        <v>5042.6687239745506</v>
      </c>
      <c r="E225" s="392">
        <f>D225/D281</f>
        <v>4.7182653982212483E-2</v>
      </c>
      <c r="F225" s="1328">
        <f>((F226*I226)+(F227*I227)+(F228*I228))/(I226+I227+I228)</f>
        <v>1</v>
      </c>
      <c r="G225" s="1320">
        <f>H225/F225</f>
        <v>0.48</v>
      </c>
      <c r="H225" s="1328">
        <f>((H226*I226)+(H227*I227)+(H228*I228))/(I226+I227+I228)</f>
        <v>0.48</v>
      </c>
      <c r="I225" s="759">
        <f>D225/H225</f>
        <v>10505.559841613647</v>
      </c>
      <c r="J225" s="795">
        <f>J227+J226</f>
        <v>0.82805573080283568</v>
      </c>
      <c r="K225" s="1324">
        <f>L225/H225</f>
        <v>8.641045384735067</v>
      </c>
      <c r="L225" s="1328">
        <f>((L226*I226)+(L227*I227)+(L228*I228))/(I226+I227+I228)</f>
        <v>4.1477017846728321</v>
      </c>
      <c r="M225" s="693">
        <f>D225*K225</f>
        <v>43573.929304048157</v>
      </c>
      <c r="N225" s="413">
        <f>M225/M281</f>
        <v>0.35668549268217103</v>
      </c>
      <c r="O225" s="682" t="s">
        <v>60</v>
      </c>
      <c r="P225" s="759">
        <f>SUM(P226:P229)</f>
        <v>43573.929304048164</v>
      </c>
      <c r="Q225" s="801">
        <f>SUM(Q226:Q229)</f>
        <v>1</v>
      </c>
      <c r="R225" s="759">
        <f>SUM(R226:R229)</f>
        <v>5042.6687239745506</v>
      </c>
      <c r="S225" s="797">
        <f>SUM(S226:S229)</f>
        <v>1</v>
      </c>
      <c r="T225" s="680">
        <f>T85*(D225/D85)/(1.01^10)</f>
        <v>520324.8119264844</v>
      </c>
      <c r="U225" s="1543" t="str">
        <f t="shared" si="167"/>
        <v xml:space="preserve">Sum </v>
      </c>
      <c r="V225" s="619"/>
      <c r="W225" s="762"/>
      <c r="X225" s="447"/>
      <c r="Y225" s="619"/>
      <c r="Z225" s="447"/>
      <c r="AA225" s="447"/>
      <c r="AB225" s="447"/>
      <c r="AC225" s="447"/>
      <c r="AD225" s="748">
        <f>SUM(AD226:AD242)</f>
        <v>43573.929304048157</v>
      </c>
      <c r="AE225" s="716"/>
      <c r="AF225" s="717"/>
      <c r="AG225" s="717"/>
      <c r="AH225" s="717"/>
      <c r="AI225" s="717"/>
      <c r="AJ225" s="718"/>
      <c r="AK225" s="718"/>
      <c r="AL225" s="718"/>
      <c r="AM225" s="718"/>
      <c r="AN225" s="718"/>
      <c r="AO225" s="718"/>
      <c r="AP225" s="717"/>
      <c r="AQ225" s="719"/>
      <c r="AR225" s="644">
        <f>SUM(AR226:AR242)</f>
        <v>520324.8119264844</v>
      </c>
      <c r="AT225" s="212"/>
      <c r="AU225" s="212"/>
      <c r="AV225" s="212"/>
      <c r="AW225" s="212"/>
      <c r="AX225" s="212"/>
      <c r="AY225" s="212"/>
      <c r="AZ225" s="212"/>
      <c r="BA225" s="212"/>
    </row>
    <row r="226" spans="3:53" ht="15.75" customHeight="1" x14ac:dyDescent="0.25">
      <c r="C226" s="569" t="str">
        <f>C86</f>
        <v>&lt;50km</v>
      </c>
      <c r="D226" s="532">
        <f>(D86*(1+'Growth, Modal Shift, InfraCosts'!C56)^'Growth, Modal Shift, InfraCosts'!$D$4)</f>
        <v>1707.9518968101802</v>
      </c>
      <c r="E226" s="448">
        <f>D226/D281</f>
        <v>1.5980764903775369E-2</v>
      </c>
      <c r="F226" s="1334">
        <v>1</v>
      </c>
      <c r="G226" s="425">
        <v>0.48</v>
      </c>
      <c r="H226" s="827">
        <f>G226*F226</f>
        <v>0.48</v>
      </c>
      <c r="I226" s="538">
        <f>D226/H226</f>
        <v>3558.2331183545421</v>
      </c>
      <c r="J226" s="473">
        <f>I226/I281</f>
        <v>0.2804624760229204</v>
      </c>
      <c r="K226" s="1342">
        <f>L226/H226</f>
        <v>8.641045384735067</v>
      </c>
      <c r="L226" s="1343">
        <f>L86*$AV$9</f>
        <v>4.1477017846728321</v>
      </c>
      <c r="M226" s="691">
        <f>D226*K226</f>
        <v>14758.48985528111</v>
      </c>
      <c r="N226" s="367">
        <f>M226/M281</f>
        <v>0.12080937637145132</v>
      </c>
      <c r="O226" s="450" t="s">
        <v>3</v>
      </c>
      <c r="P226" s="532">
        <f>Q226*M225</f>
        <v>39769.665188293526</v>
      </c>
      <c r="Q226" s="358">
        <f>(Q86+Q88-Q228)*1.01^10</f>
        <v>0.91269403112100789</v>
      </c>
      <c r="R226" s="532">
        <f>S226*D225</f>
        <v>4721.4074323330924</v>
      </c>
      <c r="S226" s="367">
        <f>(Q226*Z227)/(Q226*Z227+Q227*Z231+Q228*Z232+Q229*Z233)</f>
        <v>0.93629141448176567</v>
      </c>
      <c r="T226" s="525">
        <f>S226*T225</f>
        <v>487175.65414860676</v>
      </c>
      <c r="U226" s="477" t="str">
        <f t="shared" si="167"/>
        <v>Battery electric vehicles</v>
      </c>
      <c r="V226" s="1579">
        <f>V86</f>
        <v>0</v>
      </c>
      <c r="W226" s="694"/>
      <c r="X226" s="61"/>
      <c r="Y226" s="347">
        <f>Y147</f>
        <v>0.9</v>
      </c>
      <c r="Z226" s="61"/>
      <c r="AA226" s="61">
        <f t="shared" ref="AA226:AA235" si="168">1/AB226</f>
        <v>1.3641931120562953</v>
      </c>
      <c r="AB226" s="61">
        <f>AB242/Y226*Y242</f>
        <v>0.73303404859790378</v>
      </c>
      <c r="AC226" s="61">
        <f>AC242/Y226*Y242</f>
        <v>1.5271542679122998</v>
      </c>
      <c r="AD226" s="752">
        <f t="shared" ref="AD226:AD237" si="169">AC226*V226*$D$225</f>
        <v>0</v>
      </c>
      <c r="AE226" s="720"/>
      <c r="AF226" s="721"/>
      <c r="AG226" s="721"/>
      <c r="AH226" s="721"/>
      <c r="AI226" s="721"/>
      <c r="AJ226" s="721"/>
      <c r="AK226" s="721"/>
      <c r="AL226" s="721"/>
      <c r="AM226" s="721"/>
      <c r="AN226" s="722">
        <f>AD226</f>
        <v>0</v>
      </c>
      <c r="AO226" s="721"/>
      <c r="AP226" s="721"/>
      <c r="AQ226" s="723"/>
      <c r="AR226" s="645">
        <f>V226*T225</f>
        <v>0</v>
      </c>
      <c r="AT226" s="212"/>
      <c r="AU226" s="212"/>
      <c r="AV226" s="212"/>
      <c r="AW226" s="212"/>
      <c r="AX226" s="212"/>
      <c r="AY226" s="212"/>
      <c r="AZ226" s="212"/>
      <c r="BA226" s="212"/>
    </row>
    <row r="227" spans="3:53" ht="15.75" customHeight="1" thickBot="1" x14ac:dyDescent="0.3">
      <c r="C227" s="569" t="str">
        <f>C87</f>
        <v>&gt;50km</v>
      </c>
      <c r="D227" s="532">
        <f>(D87*(1+'Growth, Modal Shift, InfraCosts'!C57)^'Growth, Modal Shift, InfraCosts'!$D$4)</f>
        <v>3334.7168271643704</v>
      </c>
      <c r="E227" s="448">
        <f>D227/D281</f>
        <v>3.1201889078437118E-2</v>
      </c>
      <c r="F227" s="1334">
        <v>1</v>
      </c>
      <c r="G227" s="426">
        <v>0.48</v>
      </c>
      <c r="H227" s="827">
        <f>G227*F227</f>
        <v>0.48</v>
      </c>
      <c r="I227" s="538">
        <f>D227/H227</f>
        <v>6947.3267232591052</v>
      </c>
      <c r="J227" s="473">
        <f>I227/I281</f>
        <v>0.54759325477991527</v>
      </c>
      <c r="K227" s="1342">
        <f>L227/H227</f>
        <v>8.641045384735067</v>
      </c>
      <c r="L227" s="1345">
        <f>L87*$AV$9</f>
        <v>4.1477017846728321</v>
      </c>
      <c r="M227" s="691">
        <f>D227*K227</f>
        <v>28815.439448767051</v>
      </c>
      <c r="N227" s="367">
        <f>M227/M281</f>
        <v>0.23587611631071975</v>
      </c>
      <c r="O227" s="357" t="s">
        <v>41</v>
      </c>
      <c r="P227" s="694">
        <f>Q227*M225</f>
        <v>1298.7631807718619</v>
      </c>
      <c r="Q227" s="358">
        <f>1-Q226-Q228-Q229</f>
        <v>2.9805968878992114E-2</v>
      </c>
      <c r="R227" s="694">
        <f>S227*D225</f>
        <v>117.51592619399446</v>
      </c>
      <c r="S227" s="367">
        <f>(Q227*Z231)/(Q226*Z227+Q227*Z231+Q228*Z232+Q229*Z233)</f>
        <v>2.3304312185982799E-2</v>
      </c>
      <c r="T227" s="520">
        <f>S227*T225</f>
        <v>12125.811855247579</v>
      </c>
      <c r="U227" s="475" t="str">
        <f t="shared" si="167"/>
        <v>ICE Diesel</v>
      </c>
      <c r="V227" s="1577">
        <f>V87</f>
        <v>0</v>
      </c>
      <c r="W227" s="694">
        <f>AB227*74</f>
        <v>213.68202343991175</v>
      </c>
      <c r="X227" s="61"/>
      <c r="Y227" s="347">
        <f>Y148</f>
        <v>0.22847063524905639</v>
      </c>
      <c r="Z227" s="61">
        <f>1/((AB227/42700)/0.84*1000)</f>
        <v>12.421409893408185</v>
      </c>
      <c r="AA227" s="61">
        <f>1/AB227</f>
        <v>0.34630896323765437</v>
      </c>
      <c r="AB227" s="628">
        <f>AB242/Y227*Y242</f>
        <v>2.8875949113501589</v>
      </c>
      <c r="AC227" s="61">
        <f>AC242/Y227*Y242</f>
        <v>6.0158227319794975</v>
      </c>
      <c r="AD227" s="752">
        <f>AC227*V227*$D$225</f>
        <v>0</v>
      </c>
      <c r="AE227" s="725"/>
      <c r="AF227" s="722">
        <f>AD227</f>
        <v>0</v>
      </c>
      <c r="AG227" s="721"/>
      <c r="AH227" s="721"/>
      <c r="AI227" s="721"/>
      <c r="AJ227" s="721"/>
      <c r="AK227" s="721"/>
      <c r="AL227" s="721"/>
      <c r="AM227" s="721"/>
      <c r="AN227" s="721"/>
      <c r="AO227" s="721"/>
      <c r="AP227" s="721"/>
      <c r="AQ227" s="723"/>
      <c r="AR227" s="645">
        <f>V227*T225</f>
        <v>0</v>
      </c>
      <c r="AT227" s="212"/>
      <c r="AU227" s="212"/>
      <c r="AV227" s="212"/>
      <c r="AW227" s="212"/>
      <c r="AX227" s="212"/>
      <c r="AY227" s="212"/>
      <c r="AZ227" s="212"/>
      <c r="BA227" s="212"/>
    </row>
    <row r="228" spans="3:53" ht="15.75" customHeight="1" x14ac:dyDescent="0.25">
      <c r="C228" s="569"/>
      <c r="D228" s="532"/>
      <c r="E228" s="448"/>
      <c r="F228" s="364"/>
      <c r="G228" s="473"/>
      <c r="H228" s="827"/>
      <c r="I228" s="538"/>
      <c r="J228" s="473"/>
      <c r="K228" s="1342"/>
      <c r="L228" s="1334"/>
      <c r="M228" s="691"/>
      <c r="N228" s="367"/>
      <c r="O228" s="911" t="s">
        <v>43</v>
      </c>
      <c r="P228" s="912">
        <f>Q228*M225</f>
        <v>1252.7504674913846</v>
      </c>
      <c r="Q228" s="913">
        <f>5.75%/2</f>
        <v>2.8750000000000001E-2</v>
      </c>
      <c r="R228" s="912">
        <f>S228*D225</f>
        <v>72.783730586070646</v>
      </c>
      <c r="S228" s="914">
        <f>Q228*Z232/(Q226*Z227+Q227*Z231+Q228*Z232+Q229*Z233)</f>
        <v>1.4433573682925513E-2</v>
      </c>
      <c r="T228" s="520">
        <f>S228*T225</f>
        <v>7510.1465119952727</v>
      </c>
      <c r="U228" s="477" t="str">
        <f t="shared" si="167"/>
        <v>ICE hybrid vehicle Diesel</v>
      </c>
      <c r="V228" s="1577">
        <f>V88</f>
        <v>0</v>
      </c>
      <c r="W228" s="694">
        <f>AB228*74</f>
        <v>146.40547536729994</v>
      </c>
      <c r="X228" s="61"/>
      <c r="Y228" s="347">
        <f>Y149</f>
        <v>0.33345793601053042</v>
      </c>
      <c r="Z228" s="61">
        <f>1/((AB228/42700)/0.84*1000)</f>
        <v>18.129321962454622</v>
      </c>
      <c r="AA228" s="61">
        <f>1/AB228</f>
        <v>0.50544557718452721</v>
      </c>
      <c r="AB228" s="61">
        <f>AB242/Y228*Y242</f>
        <v>1.9784523698283776</v>
      </c>
      <c r="AC228" s="61">
        <f>AC242/Y228*Y242</f>
        <v>4.1217757704757867</v>
      </c>
      <c r="AD228" s="752">
        <f>AC228*V228*$D$225</f>
        <v>0</v>
      </c>
      <c r="AE228" s="720"/>
      <c r="AF228" s="722">
        <f>AD228</f>
        <v>0</v>
      </c>
      <c r="AG228" s="721"/>
      <c r="AH228" s="721"/>
      <c r="AI228" s="721"/>
      <c r="AJ228" s="721"/>
      <c r="AK228" s="721"/>
      <c r="AL228" s="721"/>
      <c r="AM228" s="721"/>
      <c r="AN228" s="721"/>
      <c r="AO228" s="721"/>
      <c r="AP228" s="721"/>
      <c r="AQ228" s="723"/>
      <c r="AR228" s="645">
        <f>V228*T225</f>
        <v>0</v>
      </c>
      <c r="AT228" s="212"/>
      <c r="AU228" s="212"/>
      <c r="AV228" s="212"/>
      <c r="AW228" s="212"/>
      <c r="AX228" s="212"/>
      <c r="AY228" s="212"/>
      <c r="AZ228" s="212"/>
      <c r="BA228" s="212"/>
    </row>
    <row r="229" spans="3:53" ht="15.75" customHeight="1" x14ac:dyDescent="0.25">
      <c r="C229" s="569"/>
      <c r="D229" s="532"/>
      <c r="E229" s="448"/>
      <c r="F229" s="364"/>
      <c r="G229" s="473"/>
      <c r="H229" s="827"/>
      <c r="I229" s="538"/>
      <c r="J229" s="473"/>
      <c r="K229" s="1342"/>
      <c r="L229" s="1334"/>
      <c r="M229" s="691"/>
      <c r="N229" s="367"/>
      <c r="O229" s="911" t="s">
        <v>74</v>
      </c>
      <c r="P229" s="912">
        <f>Q229*M225</f>
        <v>1252.7504674913846</v>
      </c>
      <c r="Q229" s="913">
        <f>5.75%/2</f>
        <v>2.8750000000000001E-2</v>
      </c>
      <c r="R229" s="912">
        <f>S229*D225</f>
        <v>130.96163486139321</v>
      </c>
      <c r="S229" s="914">
        <f>Q229*Z233/(Q226*Z227+Q227*Z231+Q228*Z232+Q229*Z233)</f>
        <v>2.597069964932603E-2</v>
      </c>
      <c r="T229" s="520">
        <f>S229*T225</f>
        <v>13513.199410634781</v>
      </c>
      <c r="U229" s="477" t="str">
        <f t="shared" si="167"/>
        <v>ICE Plug-in hybrid vehicle Diesel</v>
      </c>
      <c r="V229" s="1577">
        <f>V89</f>
        <v>0</v>
      </c>
      <c r="W229" s="694">
        <f>AB229*74</f>
        <v>67.384496392850778</v>
      </c>
      <c r="X229" s="61"/>
      <c r="Y229" s="347">
        <f>Y150</f>
        <v>0.72450000000000003</v>
      </c>
      <c r="Z229" s="61">
        <f>1/((AB229/42700)/0.84*1000)</f>
        <v>39.389357227304338</v>
      </c>
      <c r="AA229" s="61">
        <f>1/AB229</f>
        <v>1.0981754552053178</v>
      </c>
      <c r="AB229" s="61">
        <f>AB242/Y229*Y242</f>
        <v>0.91060130260609162</v>
      </c>
      <c r="AC229" s="61">
        <f>AC242/Y229*Y242</f>
        <v>1.8970860470960242</v>
      </c>
      <c r="AD229" s="752">
        <f>AC229*V229*$D$225</f>
        <v>0</v>
      </c>
      <c r="AE229" s="720"/>
      <c r="AF229" s="722">
        <f>AD229*$AW$17</f>
        <v>0</v>
      </c>
      <c r="AG229" s="721"/>
      <c r="AH229" s="721"/>
      <c r="AI229" s="721"/>
      <c r="AJ229" s="721"/>
      <c r="AK229" s="721"/>
      <c r="AL229" s="721"/>
      <c r="AM229" s="721"/>
      <c r="AN229" s="721"/>
      <c r="AO229" s="722">
        <f>AD229*$AX$17</f>
        <v>0</v>
      </c>
      <c r="AP229" s="721"/>
      <c r="AQ229" s="723"/>
      <c r="AR229" s="645">
        <f>V229*T225</f>
        <v>0</v>
      </c>
      <c r="AT229" s="212"/>
      <c r="AU229" s="212"/>
      <c r="AV229" s="212"/>
      <c r="AW229" s="212"/>
      <c r="AX229" s="212"/>
      <c r="AY229" s="212"/>
      <c r="AZ229" s="212"/>
      <c r="BA229" s="212"/>
    </row>
    <row r="230" spans="3:53" ht="15.75" customHeight="1" x14ac:dyDescent="0.25">
      <c r="C230" s="569"/>
      <c r="D230" s="532"/>
      <c r="E230" s="448"/>
      <c r="F230" s="371"/>
      <c r="G230" s="436"/>
      <c r="H230" s="828"/>
      <c r="I230" s="532"/>
      <c r="J230" s="417"/>
      <c r="K230" s="553"/>
      <c r="L230" s="432"/>
      <c r="M230" s="691"/>
      <c r="N230" s="367"/>
      <c r="T230" s="524"/>
      <c r="U230" s="475" t="s">
        <v>483</v>
      </c>
      <c r="V230" s="375">
        <f t="shared" ref="V230:V241" si="170">V90</f>
        <v>0</v>
      </c>
      <c r="W230" s="694"/>
      <c r="X230" s="61"/>
      <c r="Y230" s="347">
        <f>Y227</f>
        <v>0.22847063524905639</v>
      </c>
      <c r="Z230" s="61">
        <f>Z227</f>
        <v>12.421409893408185</v>
      </c>
      <c r="AA230" s="61">
        <f>AA227</f>
        <v>0.34630896323765437</v>
      </c>
      <c r="AB230" s="61">
        <f>AB227</f>
        <v>2.8875949113501589</v>
      </c>
      <c r="AC230" s="61">
        <f>AC227</f>
        <v>6.0158227319794975</v>
      </c>
      <c r="AD230" s="752">
        <f>AC230*V230*$D$225</f>
        <v>0</v>
      </c>
      <c r="AE230" s="720"/>
      <c r="AF230" s="741"/>
      <c r="AG230" s="721"/>
      <c r="AH230" s="721"/>
      <c r="AI230" s="721"/>
      <c r="AJ230" s="721"/>
      <c r="AK230" s="738">
        <f>AD230</f>
        <v>0</v>
      </c>
      <c r="AL230" s="721"/>
      <c r="AM230" s="721"/>
      <c r="AN230" s="721"/>
      <c r="AO230" s="741"/>
      <c r="AP230" s="721"/>
      <c r="AQ230" s="723"/>
      <c r="AR230" s="645">
        <f>V230*T225</f>
        <v>0</v>
      </c>
      <c r="AT230" s="212"/>
      <c r="AU230" s="212"/>
      <c r="AV230" s="212"/>
      <c r="AW230" s="212"/>
      <c r="AX230" s="212"/>
      <c r="AY230" s="212"/>
      <c r="AZ230" s="212"/>
      <c r="BA230" s="212"/>
    </row>
    <row r="231" spans="3:53" ht="15.75" customHeight="1" x14ac:dyDescent="0.25">
      <c r="C231" s="569"/>
      <c r="D231" s="532"/>
      <c r="E231" s="448"/>
      <c r="F231" s="371"/>
      <c r="G231" s="436"/>
      <c r="H231" s="828"/>
      <c r="I231" s="532"/>
      <c r="J231" s="417"/>
      <c r="K231" s="553"/>
      <c r="L231" s="432"/>
      <c r="M231" s="691"/>
      <c r="N231" s="367"/>
      <c r="T231" s="524"/>
      <c r="U231" s="475" t="str">
        <f>U91</f>
        <v>ICE Petrol</v>
      </c>
      <c r="V231" s="375">
        <f t="shared" si="170"/>
        <v>0</v>
      </c>
      <c r="W231" s="694">
        <f>AB231*73</f>
        <v>253.30287882213827</v>
      </c>
      <c r="X231" s="61"/>
      <c r="Y231" s="347">
        <f>Y152</f>
        <v>0.19012944983818769</v>
      </c>
      <c r="Z231" s="61">
        <f>1/((AB231/43800)/0.75*1000)</f>
        <v>9.4671249341932633</v>
      </c>
      <c r="AA231" s="61">
        <f>1/AB231</f>
        <v>0.28819253985367621</v>
      </c>
      <c r="AB231" s="628">
        <f>AB242/Y231*Y242</f>
        <v>3.4699024496183326</v>
      </c>
      <c r="AC231" s="61">
        <f>AC242/Y231*Y242</f>
        <v>7.2289634367048601</v>
      </c>
      <c r="AD231" s="752">
        <f>AC231*V231*$D$225</f>
        <v>0</v>
      </c>
      <c r="AE231" s="726">
        <f>AD231</f>
        <v>0</v>
      </c>
      <c r="AF231" s="727"/>
      <c r="AG231" s="721"/>
      <c r="AH231" s="721"/>
      <c r="AI231" s="721"/>
      <c r="AJ231" s="721"/>
      <c r="AK231" s="721"/>
      <c r="AL231" s="721"/>
      <c r="AM231" s="721"/>
      <c r="AN231" s="721"/>
      <c r="AO231" s="721"/>
      <c r="AP231" s="721"/>
      <c r="AQ231" s="723"/>
      <c r="AR231" s="645">
        <f>V231*T225</f>
        <v>0</v>
      </c>
      <c r="AT231" s="212"/>
      <c r="AU231" s="212"/>
      <c r="AV231" s="212"/>
      <c r="AW231" s="212"/>
      <c r="AX231" s="212"/>
      <c r="AY231" s="212"/>
      <c r="AZ231" s="212"/>
      <c r="BA231" s="212"/>
    </row>
    <row r="232" spans="3:53" ht="15.75" customHeight="1" x14ac:dyDescent="0.25">
      <c r="C232" s="569"/>
      <c r="D232" s="532"/>
      <c r="E232" s="448"/>
      <c r="F232" s="371"/>
      <c r="G232" s="436"/>
      <c r="H232" s="828"/>
      <c r="I232" s="532"/>
      <c r="J232" s="417"/>
      <c r="K232" s="553"/>
      <c r="L232" s="432"/>
      <c r="M232" s="691"/>
      <c r="N232" s="367"/>
      <c r="T232" s="524"/>
      <c r="U232" s="477" t="str">
        <f>U92</f>
        <v>ICE Bioethanol</v>
      </c>
      <c r="V232" s="375">
        <f t="shared" si="170"/>
        <v>0</v>
      </c>
      <c r="W232" s="694"/>
      <c r="X232" s="61"/>
      <c r="Y232" s="347">
        <f>Y153</f>
        <v>0.19012944983818769</v>
      </c>
      <c r="Z232" s="61">
        <f>1/((AB232/26700)/0.79*1000)</f>
        <v>6.0788452431335926</v>
      </c>
      <c r="AA232" s="61">
        <f t="shared" si="168"/>
        <v>0.28819253985367621</v>
      </c>
      <c r="AB232" s="61">
        <f>AB242/Y232*Y242</f>
        <v>3.4699024496183326</v>
      </c>
      <c r="AC232" s="61">
        <f>AC242/Y232*Y242</f>
        <v>7.2289634367048601</v>
      </c>
      <c r="AD232" s="752">
        <f t="shared" si="169"/>
        <v>0</v>
      </c>
      <c r="AE232" s="720"/>
      <c r="AF232" s="721"/>
      <c r="AG232" s="721"/>
      <c r="AH232" s="721"/>
      <c r="AI232" s="721"/>
      <c r="AJ232" s="722">
        <f>AD232</f>
        <v>0</v>
      </c>
      <c r="AK232" s="741"/>
      <c r="AL232" s="721"/>
      <c r="AM232" s="721"/>
      <c r="AN232" s="721"/>
      <c r="AO232" s="721"/>
      <c r="AP232" s="721"/>
      <c r="AQ232" s="723"/>
      <c r="AR232" s="645">
        <f>V232*T225</f>
        <v>0</v>
      </c>
      <c r="AT232" s="212"/>
      <c r="AU232" s="212"/>
      <c r="AV232" s="212"/>
      <c r="AW232" s="212"/>
      <c r="AX232" s="212"/>
      <c r="AY232" s="212"/>
      <c r="AZ232" s="212"/>
      <c r="BA232" s="212"/>
    </row>
    <row r="233" spans="3:53" ht="15.75" customHeight="1" x14ac:dyDescent="0.25">
      <c r="C233" s="569"/>
      <c r="D233" s="532"/>
      <c r="E233" s="448"/>
      <c r="F233" s="371"/>
      <c r="G233" s="436"/>
      <c r="H233" s="828"/>
      <c r="I233" s="532"/>
      <c r="J233" s="417"/>
      <c r="K233" s="553"/>
      <c r="L233" s="432"/>
      <c r="M233" s="691"/>
      <c r="N233" s="367"/>
      <c r="T233" s="524"/>
      <c r="U233" s="477" t="str">
        <f>U93</f>
        <v>ICE Bio-methanol</v>
      </c>
      <c r="V233" s="375">
        <f t="shared" si="170"/>
        <v>0</v>
      </c>
      <c r="W233" s="694"/>
      <c r="X233" s="61"/>
      <c r="Y233" s="347">
        <f>Y154</f>
        <v>0.22847063524905639</v>
      </c>
      <c r="Z233" s="61">
        <f>1/((AB233/37600)/0.84*1000)</f>
        <v>10.937822294898075</v>
      </c>
      <c r="AA233" s="61">
        <f>1/AB233</f>
        <v>0.34630896323765437</v>
      </c>
      <c r="AB233" s="61">
        <f>AB242/Y233*Y242</f>
        <v>2.8875949113501589</v>
      </c>
      <c r="AC233" s="61">
        <f>AC242/Y233*Y242</f>
        <v>6.0158227319794975</v>
      </c>
      <c r="AD233" s="752">
        <f>AC233*V233*$D$225</f>
        <v>0</v>
      </c>
      <c r="AE233" s="720"/>
      <c r="AF233" s="721"/>
      <c r="AG233" s="721"/>
      <c r="AI233" s="722">
        <f>+AD233</f>
        <v>0</v>
      </c>
      <c r="AJ233" s="721"/>
      <c r="AK233" s="721"/>
      <c r="AL233" s="721"/>
      <c r="AM233" s="721"/>
      <c r="AN233" s="721"/>
      <c r="AO233" s="721"/>
      <c r="AP233" s="721"/>
      <c r="AQ233" s="723"/>
      <c r="AR233" s="645">
        <f>V233*T225</f>
        <v>0</v>
      </c>
      <c r="AT233" s="212"/>
      <c r="AU233" s="212"/>
      <c r="AV233" s="212"/>
      <c r="AW233" s="212"/>
      <c r="AX233" s="212"/>
      <c r="AY233" s="212"/>
      <c r="AZ233" s="212"/>
      <c r="BA233" s="212"/>
    </row>
    <row r="234" spans="3:53" ht="15.75" customHeight="1" x14ac:dyDescent="0.25">
      <c r="C234" s="569"/>
      <c r="D234" s="532"/>
      <c r="E234" s="448"/>
      <c r="F234" s="371"/>
      <c r="G234" s="436"/>
      <c r="H234" s="828"/>
      <c r="I234" s="532"/>
      <c r="J234" s="417"/>
      <c r="K234" s="553"/>
      <c r="L234" s="432"/>
      <c r="M234" s="691"/>
      <c r="N234" s="367"/>
      <c r="O234" s="435"/>
      <c r="P234" s="691"/>
      <c r="Q234" s="436"/>
      <c r="R234" s="532"/>
      <c r="S234" s="366"/>
      <c r="T234" s="521"/>
      <c r="U234" s="477" t="str">
        <f>U94</f>
        <v>ICE hybrid vehicle Bio-methanol</v>
      </c>
      <c r="V234" s="375">
        <f t="shared" si="170"/>
        <v>0</v>
      </c>
      <c r="W234" s="694"/>
      <c r="X234" s="61"/>
      <c r="Y234" s="347">
        <f>Y155</f>
        <v>0.33345793601053042</v>
      </c>
      <c r="Z234" s="61">
        <f>1/((AB234/37600)/0.84*1000)</f>
        <v>15.963993109796107</v>
      </c>
      <c r="AA234" s="61">
        <f t="shared" si="168"/>
        <v>0.50544557718452721</v>
      </c>
      <c r="AB234" s="61">
        <f>AB242/Y234*Y242</f>
        <v>1.9784523698283776</v>
      </c>
      <c r="AC234" s="61">
        <f>AC242/Y234*Y242</f>
        <v>4.1217757704757867</v>
      </c>
      <c r="AD234" s="752">
        <f t="shared" si="169"/>
        <v>0</v>
      </c>
      <c r="AE234" s="720"/>
      <c r="AF234" s="721"/>
      <c r="AG234" s="721"/>
      <c r="AH234" s="721"/>
      <c r="AI234" s="722">
        <f>AD234</f>
        <v>0</v>
      </c>
      <c r="AJ234" s="721"/>
      <c r="AK234" s="721"/>
      <c r="AL234" s="721"/>
      <c r="AM234" s="721"/>
      <c r="AN234" s="721"/>
      <c r="AO234" s="721"/>
      <c r="AP234" s="721"/>
      <c r="AQ234" s="723"/>
      <c r="AR234" s="645">
        <f>V234*T225</f>
        <v>0</v>
      </c>
      <c r="AT234" s="212"/>
      <c r="AU234" s="212"/>
      <c r="AV234" s="212"/>
      <c r="AW234" s="212"/>
      <c r="AX234" s="212"/>
      <c r="AY234" s="212"/>
      <c r="AZ234" s="212"/>
      <c r="BA234" s="212"/>
    </row>
    <row r="235" spans="3:53" ht="15.75" customHeight="1" x14ac:dyDescent="0.25">
      <c r="C235" s="569"/>
      <c r="D235" s="532"/>
      <c r="E235" s="448"/>
      <c r="F235" s="371"/>
      <c r="G235" s="436"/>
      <c r="H235" s="828"/>
      <c r="I235" s="532"/>
      <c r="J235" s="417"/>
      <c r="K235" s="553"/>
      <c r="L235" s="432"/>
      <c r="M235" s="691"/>
      <c r="N235" s="367"/>
      <c r="O235" s="435"/>
      <c r="P235" s="691"/>
      <c r="Q235" s="436"/>
      <c r="R235" s="532"/>
      <c r="S235" s="366"/>
      <c r="T235" s="521"/>
      <c r="U235" s="477" t="str">
        <f>U95</f>
        <v>ICE Plug-in hybrid vehicle Bio-methanol</v>
      </c>
      <c r="V235" s="375">
        <f t="shared" si="170"/>
        <v>0</v>
      </c>
      <c r="W235" s="694"/>
      <c r="X235" s="61"/>
      <c r="Y235" s="347">
        <f>Y156</f>
        <v>0.72450000000000003</v>
      </c>
      <c r="Z235" s="61">
        <f>1/((AB235/37600)/0.84*1000)</f>
        <v>34.684773577204759</v>
      </c>
      <c r="AA235" s="61">
        <f t="shared" si="168"/>
        <v>1.0981754552053178</v>
      </c>
      <c r="AB235" s="61">
        <f>AB242/Y235*Y242</f>
        <v>0.91060130260609162</v>
      </c>
      <c r="AC235" s="61">
        <f>AC242/Y235*Y242</f>
        <v>1.8970860470960242</v>
      </c>
      <c r="AD235" s="752">
        <f t="shared" si="169"/>
        <v>0</v>
      </c>
      <c r="AE235" s="720"/>
      <c r="AF235" s="721"/>
      <c r="AG235" s="721"/>
      <c r="AH235" s="721"/>
      <c r="AI235" s="722">
        <f>AD235*$AW$17</f>
        <v>0</v>
      </c>
      <c r="AJ235" s="721"/>
      <c r="AK235" s="721"/>
      <c r="AL235" s="721"/>
      <c r="AM235" s="721"/>
      <c r="AN235" s="721"/>
      <c r="AO235" s="722">
        <f>AD235*$AX$17</f>
        <v>0</v>
      </c>
      <c r="AP235" s="721"/>
      <c r="AQ235" s="723"/>
      <c r="AR235" s="645">
        <f>V235*T225</f>
        <v>0</v>
      </c>
      <c r="AT235" s="1526"/>
      <c r="AU235" s="1526"/>
      <c r="AV235" s="1526"/>
      <c r="AW235" s="1526"/>
      <c r="AX235" s="1526"/>
      <c r="AY235" s="1526"/>
      <c r="AZ235" s="212"/>
      <c r="BA235" s="212"/>
    </row>
    <row r="236" spans="3:53" ht="15.75" customHeight="1" x14ac:dyDescent="0.25">
      <c r="C236" s="569"/>
      <c r="D236" s="532"/>
      <c r="E236" s="448"/>
      <c r="F236" s="371"/>
      <c r="G236" s="436"/>
      <c r="H236" s="828"/>
      <c r="I236" s="532"/>
      <c r="J236" s="417"/>
      <c r="K236" s="553"/>
      <c r="L236" s="432"/>
      <c r="M236" s="691"/>
      <c r="N236" s="367"/>
      <c r="O236" s="435"/>
      <c r="P236" s="691"/>
      <c r="Q236" s="436"/>
      <c r="R236" s="532"/>
      <c r="S236" s="1525"/>
      <c r="T236" s="521"/>
      <c r="U236" s="475" t="s">
        <v>412</v>
      </c>
      <c r="V236" s="375">
        <f t="shared" si="170"/>
        <v>0</v>
      </c>
      <c r="W236" s="694"/>
      <c r="X236" s="61">
        <f t="shared" ref="X236:AB237" si="171">X227</f>
        <v>0</v>
      </c>
      <c r="Y236" s="362">
        <f t="shared" si="171"/>
        <v>0.22847063524905639</v>
      </c>
      <c r="Z236" s="61">
        <f t="shared" si="171"/>
        <v>12.421409893408185</v>
      </c>
      <c r="AA236" s="61">
        <f t="shared" si="171"/>
        <v>0.34630896323765437</v>
      </c>
      <c r="AB236" s="61">
        <f t="shared" si="171"/>
        <v>2.8875949113501589</v>
      </c>
      <c r="AC236" s="61">
        <f>AB236/H225</f>
        <v>6.0158227319794984</v>
      </c>
      <c r="AD236" s="752">
        <f t="shared" si="169"/>
        <v>0</v>
      </c>
      <c r="AE236" s="720"/>
      <c r="AF236" s="727"/>
      <c r="AG236" s="721"/>
      <c r="AH236" s="722">
        <f>AD236</f>
        <v>0</v>
      </c>
      <c r="AI236" s="721"/>
      <c r="AJ236" s="721"/>
      <c r="AK236" s="721"/>
      <c r="AL236" s="721"/>
      <c r="AM236" s="721"/>
      <c r="AN236" s="721"/>
      <c r="AO236" s="721"/>
      <c r="AP236" s="721"/>
      <c r="AQ236" s="723"/>
      <c r="AR236" s="645">
        <f>V236*T225</f>
        <v>0</v>
      </c>
      <c r="AT236" s="212"/>
      <c r="AU236" s="212"/>
      <c r="AV236" s="212"/>
      <c r="AW236" s="212"/>
      <c r="AX236" s="212"/>
      <c r="AY236" s="212"/>
      <c r="AZ236" s="1526"/>
      <c r="BA236" s="1526"/>
    </row>
    <row r="237" spans="3:53" ht="15.75" customHeight="1" x14ac:dyDescent="0.25">
      <c r="C237" s="569"/>
      <c r="D237" s="532"/>
      <c r="E237" s="448"/>
      <c r="F237" s="371"/>
      <c r="G237" s="436"/>
      <c r="H237" s="828"/>
      <c r="I237" s="532"/>
      <c r="J237" s="417"/>
      <c r="K237" s="553"/>
      <c r="L237" s="432"/>
      <c r="M237" s="691"/>
      <c r="N237" s="367"/>
      <c r="O237" s="435"/>
      <c r="P237" s="691"/>
      <c r="Q237" s="436"/>
      <c r="R237" s="532"/>
      <c r="S237" s="366"/>
      <c r="T237" s="521"/>
      <c r="U237" s="475" t="s">
        <v>413</v>
      </c>
      <c r="V237" s="375">
        <f t="shared" si="170"/>
        <v>0</v>
      </c>
      <c r="W237" s="694"/>
      <c r="X237" s="61">
        <f t="shared" si="171"/>
        <v>0</v>
      </c>
      <c r="Y237" s="362">
        <f t="shared" si="171"/>
        <v>0.33345793601053042</v>
      </c>
      <c r="Z237" s="61">
        <f t="shared" si="171"/>
        <v>18.129321962454622</v>
      </c>
      <c r="AA237" s="61">
        <f t="shared" si="171"/>
        <v>0.50544557718452721</v>
      </c>
      <c r="AB237" s="61">
        <f t="shared" si="171"/>
        <v>1.9784523698283776</v>
      </c>
      <c r="AC237" s="61">
        <f>AB237/H225</f>
        <v>4.1217757704757867</v>
      </c>
      <c r="AD237" s="752">
        <f t="shared" si="169"/>
        <v>0</v>
      </c>
      <c r="AE237" s="720"/>
      <c r="AF237" s="727"/>
      <c r="AG237" s="721"/>
      <c r="AH237" s="722">
        <f>AD237</f>
        <v>0</v>
      </c>
      <c r="AI237" s="721"/>
      <c r="AJ237" s="721"/>
      <c r="AK237" s="721"/>
      <c r="AL237" s="721"/>
      <c r="AM237" s="721"/>
      <c r="AN237" s="721"/>
      <c r="AO237" s="721"/>
      <c r="AP237" s="721"/>
      <c r="AQ237" s="723"/>
      <c r="AR237" s="645">
        <f>V237*T225</f>
        <v>0</v>
      </c>
      <c r="AT237" s="212"/>
      <c r="AU237" s="212"/>
      <c r="AV237" s="212"/>
      <c r="AW237" s="212"/>
      <c r="AX237" s="212"/>
      <c r="AY237" s="212"/>
      <c r="AZ237" s="212"/>
      <c r="BA237" s="212"/>
    </row>
    <row r="238" spans="3:53" ht="15.75" customHeight="1" x14ac:dyDescent="0.25">
      <c r="C238" s="569"/>
      <c r="D238" s="532"/>
      <c r="E238" s="448"/>
      <c r="F238" s="371"/>
      <c r="G238" s="436"/>
      <c r="H238" s="828"/>
      <c r="I238" s="532"/>
      <c r="J238" s="417"/>
      <c r="K238" s="553"/>
      <c r="L238" s="432"/>
      <c r="M238" s="691"/>
      <c r="N238" s="367"/>
      <c r="O238" s="435"/>
      <c r="P238" s="691"/>
      <c r="Q238" s="436"/>
      <c r="R238" s="532"/>
      <c r="S238" s="366"/>
      <c r="T238" s="521"/>
      <c r="U238" s="475" t="s">
        <v>414</v>
      </c>
      <c r="V238" s="375">
        <f t="shared" si="170"/>
        <v>0</v>
      </c>
      <c r="W238" s="694"/>
      <c r="X238" s="61">
        <f>X227</f>
        <v>0</v>
      </c>
      <c r="Y238" s="362">
        <f>Y235</f>
        <v>0.72450000000000003</v>
      </c>
      <c r="Z238" s="61">
        <f>Z229</f>
        <v>39.389357227304338</v>
      </c>
      <c r="AA238" s="61">
        <f>AA229</f>
        <v>1.0981754552053178</v>
      </c>
      <c r="AB238" s="61">
        <f>AB229</f>
        <v>0.91060130260609162</v>
      </c>
      <c r="AC238" s="61">
        <f>AB238/H225</f>
        <v>1.8970860470960242</v>
      </c>
      <c r="AD238" s="752">
        <f>AC238*V238*$D$225</f>
        <v>0</v>
      </c>
      <c r="AE238" s="720"/>
      <c r="AF238" s="727"/>
      <c r="AG238" s="721"/>
      <c r="AH238" s="722">
        <f>AD238*$AW$17</f>
        <v>0</v>
      </c>
      <c r="AI238" s="721"/>
      <c r="AJ238" s="721"/>
      <c r="AK238" s="721"/>
      <c r="AL238" s="721"/>
      <c r="AM238" s="721"/>
      <c r="AN238" s="721"/>
      <c r="AO238" s="722">
        <f>AD238*$AX$17</f>
        <v>0</v>
      </c>
      <c r="AP238" s="721"/>
      <c r="AQ238" s="723"/>
      <c r="AR238" s="645">
        <f>V238*T225</f>
        <v>0</v>
      </c>
      <c r="AT238" s="894"/>
      <c r="AU238" s="894"/>
      <c r="AV238" s="894"/>
      <c r="AW238" s="894"/>
      <c r="AX238" s="894"/>
      <c r="AY238" s="894"/>
      <c r="AZ238" s="212"/>
      <c r="BA238" s="212"/>
    </row>
    <row r="239" spans="3:53" ht="15.75" customHeight="1" x14ac:dyDescent="0.25">
      <c r="C239" s="569"/>
      <c r="D239" s="532"/>
      <c r="E239" s="448"/>
      <c r="F239" s="371"/>
      <c r="G239" s="436"/>
      <c r="H239" s="828"/>
      <c r="I239" s="532"/>
      <c r="J239" s="417"/>
      <c r="K239" s="553"/>
      <c r="L239" s="432"/>
      <c r="M239" s="691"/>
      <c r="N239" s="367"/>
      <c r="O239" s="435"/>
      <c r="P239" s="691"/>
      <c r="Q239" s="436"/>
      <c r="R239" s="532"/>
      <c r="S239" s="895"/>
      <c r="T239" s="521"/>
      <c r="U239" s="477" t="str">
        <f t="shared" ref="U239:U256" si="172">U99</f>
        <v>Fuel cell hybrid vehicle Syn-methanol</v>
      </c>
      <c r="V239" s="375">
        <f t="shared" si="170"/>
        <v>0</v>
      </c>
      <c r="W239" s="694"/>
      <c r="X239" s="61"/>
      <c r="Y239" s="347">
        <f>Y160</f>
        <v>0.5</v>
      </c>
      <c r="Z239" s="61"/>
      <c r="AA239" s="61">
        <f>1/AB239</f>
        <v>0.77013986434383852</v>
      </c>
      <c r="AB239" s="61">
        <f>AB99</f>
        <v>1.2984654428348583</v>
      </c>
      <c r="AC239" s="61">
        <f>AC242/Y239*Y242</f>
        <v>2.7488776822421395</v>
      </c>
      <c r="AD239" s="752">
        <f>AC239*V239*$D$225</f>
        <v>0</v>
      </c>
      <c r="AE239" s="720"/>
      <c r="AF239" s="721"/>
      <c r="AG239" s="721"/>
      <c r="AH239" s="722">
        <f>AD239</f>
        <v>0</v>
      </c>
      <c r="AI239" s="721"/>
      <c r="AJ239" s="721"/>
      <c r="AK239" s="721"/>
      <c r="AL239" s="721"/>
      <c r="AM239" s="721"/>
      <c r="AN239" s="721"/>
      <c r="AO239" s="721"/>
      <c r="AP239" s="721"/>
      <c r="AQ239" s="721"/>
      <c r="AR239" s="645">
        <f>V239*T225</f>
        <v>0</v>
      </c>
      <c r="AT239" s="894"/>
      <c r="AU239" s="894"/>
      <c r="AV239" s="894"/>
      <c r="AW239" s="894"/>
      <c r="AX239" s="894"/>
      <c r="AY239" s="894"/>
      <c r="AZ239" s="894"/>
      <c r="BA239" s="894"/>
    </row>
    <row r="240" spans="3:53" ht="15.75" customHeight="1" x14ac:dyDescent="0.25">
      <c r="C240" s="569"/>
      <c r="D240" s="532"/>
      <c r="E240" s="448"/>
      <c r="F240" s="371"/>
      <c r="G240" s="436"/>
      <c r="H240" s="828"/>
      <c r="I240" s="532"/>
      <c r="J240" s="417"/>
      <c r="K240" s="553"/>
      <c r="L240" s="432"/>
      <c r="M240" s="691"/>
      <c r="N240" s="367"/>
      <c r="O240" s="435"/>
      <c r="P240" s="691"/>
      <c r="Q240" s="436"/>
      <c r="R240" s="532"/>
      <c r="S240" s="895"/>
      <c r="T240" s="521"/>
      <c r="U240" s="477" t="str">
        <f t="shared" si="172"/>
        <v>Plug-in fuel cell hybrid vehicle Electricity &amp; Syn-methanol</v>
      </c>
      <c r="V240" s="375">
        <f t="shared" si="170"/>
        <v>0</v>
      </c>
      <c r="W240" s="694"/>
      <c r="X240" s="61"/>
      <c r="Y240" s="347">
        <f>Y161</f>
        <v>0.79148142829089241</v>
      </c>
      <c r="Z240" s="61"/>
      <c r="AA240" s="61">
        <f>1/AB240</f>
        <v>1.1997039031054599</v>
      </c>
      <c r="AB240" s="61">
        <f>AB242/Y240*Y242</f>
        <v>0.83353900692619065</v>
      </c>
      <c r="AC240" s="61">
        <f>AC242/Y240*Y242</f>
        <v>1.7365395977628972</v>
      </c>
      <c r="AD240" s="752">
        <f>AC240*V240*$D$225</f>
        <v>0</v>
      </c>
      <c r="AE240" s="720"/>
      <c r="AF240" s="721"/>
      <c r="AG240" s="721"/>
      <c r="AH240" s="722">
        <f>AD240*$AU$17</f>
        <v>0</v>
      </c>
      <c r="AI240" s="721"/>
      <c r="AJ240" s="721"/>
      <c r="AK240" s="721"/>
      <c r="AL240" s="721"/>
      <c r="AM240" s="721"/>
      <c r="AN240" s="721"/>
      <c r="AO240" s="722">
        <f>AD240*$AV$17</f>
        <v>0</v>
      </c>
      <c r="AP240" s="721"/>
      <c r="AQ240" s="721"/>
      <c r="AR240" s="645">
        <f>V240*T225</f>
        <v>0</v>
      </c>
      <c r="AT240" s="894"/>
      <c r="AU240" s="894"/>
      <c r="AV240" s="894"/>
      <c r="AW240" s="894"/>
      <c r="AX240" s="894"/>
      <c r="AY240" s="894"/>
      <c r="AZ240" s="894"/>
      <c r="BA240" s="894"/>
    </row>
    <row r="241" spans="3:53" ht="15.75" customHeight="1" thickBot="1" x14ac:dyDescent="0.3">
      <c r="C241" s="569"/>
      <c r="D241" s="532"/>
      <c r="E241" s="448"/>
      <c r="F241" s="371"/>
      <c r="G241" s="436"/>
      <c r="H241" s="828"/>
      <c r="I241" s="532"/>
      <c r="J241" s="417"/>
      <c r="K241" s="553"/>
      <c r="L241" s="432"/>
      <c r="M241" s="691"/>
      <c r="N241" s="367"/>
      <c r="O241" s="435"/>
      <c r="P241" s="691"/>
      <c r="Q241" s="436"/>
      <c r="R241" s="532"/>
      <c r="S241" s="895"/>
      <c r="T241" s="521"/>
      <c r="U241" s="477" t="str">
        <f t="shared" si="172"/>
        <v>ICE Biogas</v>
      </c>
      <c r="V241" s="295">
        <f t="shared" si="170"/>
        <v>0</v>
      </c>
      <c r="W241" s="694"/>
      <c r="X241" s="61"/>
      <c r="Y241" s="347">
        <f>Y162</f>
        <v>0.19052430367957024</v>
      </c>
      <c r="Z241" s="61"/>
      <c r="AA241" s="61">
        <f>1/AB241</f>
        <v>0.28879104750999068</v>
      </c>
      <c r="AB241" s="61">
        <f>AB242/Y241*Y242</f>
        <v>3.4627112184473279</v>
      </c>
      <c r="AC241" s="61">
        <f>AC242/Y241*Y242</f>
        <v>7.2139817050986013</v>
      </c>
      <c r="AD241" s="752">
        <f>AC241*V241*$D$225</f>
        <v>0</v>
      </c>
      <c r="AE241" s="720"/>
      <c r="AF241" s="721"/>
      <c r="AG241" s="721"/>
      <c r="AH241" s="721"/>
      <c r="AI241" s="721"/>
      <c r="AJ241" s="721"/>
      <c r="AK241" s="721"/>
      <c r="AL241" s="722">
        <f>AD241</f>
        <v>0</v>
      </c>
      <c r="AM241" s="721"/>
      <c r="AN241" s="721"/>
      <c r="AO241" s="721"/>
      <c r="AP241" s="721"/>
      <c r="AQ241" s="723"/>
      <c r="AR241" s="645">
        <f>V241*T225</f>
        <v>0</v>
      </c>
      <c r="AT241" s="212"/>
      <c r="AU241" s="212"/>
      <c r="AV241" s="212"/>
      <c r="AW241" s="212"/>
      <c r="AX241" s="212"/>
      <c r="AY241" s="212"/>
      <c r="AZ241" s="894"/>
      <c r="BA241" s="894"/>
    </row>
    <row r="242" spans="3:53" ht="15.75" customHeight="1" x14ac:dyDescent="0.25">
      <c r="C242" s="570"/>
      <c r="D242" s="705"/>
      <c r="E242" s="456"/>
      <c r="F242" s="415"/>
      <c r="G242" s="443"/>
      <c r="H242" s="825"/>
      <c r="I242" s="705"/>
      <c r="J242" s="458"/>
      <c r="K242" s="554"/>
      <c r="L242" s="439"/>
      <c r="M242" s="695"/>
      <c r="N242" s="785"/>
      <c r="O242" s="442"/>
      <c r="P242" s="695"/>
      <c r="Q242" s="443"/>
      <c r="R242" s="705"/>
      <c r="S242" s="390"/>
      <c r="T242" s="524"/>
      <c r="U242" s="1542" t="str">
        <f t="shared" si="172"/>
        <v>No shift in technology</v>
      </c>
      <c r="V242" s="410">
        <f>1-SUM(V226:V241)</f>
        <v>1</v>
      </c>
      <c r="W242" s="532">
        <f>AB242*73.5</f>
        <v>304.85608117345316</v>
      </c>
      <c r="X242" s="616"/>
      <c r="Y242" s="58">
        <f>Y163</f>
        <v>0.1590593244133516</v>
      </c>
      <c r="Z242" s="411"/>
      <c r="AA242" s="411"/>
      <c r="AB242" s="411">
        <f>L225</f>
        <v>4.1477017846728321</v>
      </c>
      <c r="AC242" s="432">
        <f>K225</f>
        <v>8.641045384735067</v>
      </c>
      <c r="AD242" s="748">
        <f>AC242*V242*$D$225</f>
        <v>43573.929304048157</v>
      </c>
      <c r="AE242" s="728">
        <f>+AD242*Q227</f>
        <v>1298.7631807718619</v>
      </c>
      <c r="AF242" s="729">
        <f>AD242*Q226</f>
        <v>39769.665188293526</v>
      </c>
      <c r="AG242" s="730"/>
      <c r="AH242" s="730"/>
      <c r="AI242" s="893"/>
      <c r="AJ242" s="729">
        <f>AD242*Q228</f>
        <v>1252.7504674913846</v>
      </c>
      <c r="AK242" s="729">
        <f>AD242*Q229</f>
        <v>1252.7504674913846</v>
      </c>
      <c r="AL242" s="730"/>
      <c r="AM242" s="730"/>
      <c r="AN242" s="730"/>
      <c r="AO242" s="730"/>
      <c r="AP242" s="730"/>
      <c r="AQ242" s="731"/>
      <c r="AR242" s="645">
        <f>T225-SUM(V226:V241)*T225</f>
        <v>520324.8119264844</v>
      </c>
      <c r="AT242" s="212"/>
      <c r="AU242" s="212"/>
      <c r="AV242" s="212"/>
      <c r="AW242" s="212"/>
      <c r="AX242" s="212"/>
      <c r="AY242" s="212"/>
      <c r="AZ242" s="212"/>
      <c r="BA242" s="212"/>
    </row>
    <row r="243" spans="3:53" ht="15.75" customHeight="1" thickBot="1" x14ac:dyDescent="0.3">
      <c r="C243" s="571" t="str">
        <f>C103</f>
        <v xml:space="preserve">National rail </v>
      </c>
      <c r="D243" s="693">
        <f>SUM(D244:D245)</f>
        <v>167</v>
      </c>
      <c r="E243" s="392">
        <f>D243/D281</f>
        <v>1.562566102660614E-3</v>
      </c>
      <c r="F243" s="1329">
        <f>((F244*I244)+(F245*I245)+(F246*I246))/(I244+I245+I246)</f>
        <v>749.99999999999989</v>
      </c>
      <c r="G243" s="1320">
        <f>H243/F243</f>
        <v>0.37</v>
      </c>
      <c r="H243" s="1328">
        <f>((H244*I244)+(H245*I245)+(H246*I246))/(I244+I245+I246)</f>
        <v>277.49999999999994</v>
      </c>
      <c r="I243" s="759">
        <f>D243/H243</f>
        <v>0.60180180180180187</v>
      </c>
      <c r="J243" s="795">
        <f>J245+J244</f>
        <v>4.7434447883066057E-5</v>
      </c>
      <c r="K243" s="1324">
        <f>L243/H243</f>
        <v>0.35147747747747754</v>
      </c>
      <c r="L243" s="1328">
        <f>((L244*I244)+(L245*I245)+(L246*I246))/(I244+I245+I246)</f>
        <v>97.534999999999997</v>
      </c>
      <c r="M243" s="693">
        <f>SUM(M244:M245)</f>
        <v>58.696738738738738</v>
      </c>
      <c r="N243" s="413">
        <f>M243/M281</f>
        <v>4.8047709973033476E-4</v>
      </c>
      <c r="O243" s="682" t="s">
        <v>60</v>
      </c>
      <c r="P243" s="759">
        <f>SUM(P244:P245)</f>
        <v>58.696738738738738</v>
      </c>
      <c r="Q243" s="801">
        <f>SUM(Q244:Q245)</f>
        <v>0.99999999999999989</v>
      </c>
      <c r="R243" s="759">
        <f>SUM(R244:R245)</f>
        <v>167</v>
      </c>
      <c r="S243" s="797">
        <f>SUM(S244:S245)</f>
        <v>1</v>
      </c>
      <c r="T243" s="680"/>
      <c r="U243" s="1543" t="str">
        <f t="shared" si="172"/>
        <v xml:space="preserve">Sum </v>
      </c>
      <c r="V243" s="619"/>
      <c r="W243" s="762"/>
      <c r="X243" s="447"/>
      <c r="Y243" s="619"/>
      <c r="Z243" s="447"/>
      <c r="AA243" s="447"/>
      <c r="AB243" s="620"/>
      <c r="AC243" s="620"/>
      <c r="AD243" s="749">
        <f>SUM(AD244:AD248)</f>
        <v>58.696738738738752</v>
      </c>
      <c r="AE243" s="725"/>
      <c r="AF243" s="721"/>
      <c r="AG243" s="721"/>
      <c r="AH243" s="721"/>
      <c r="AI243" s="721"/>
      <c r="AJ243" s="721"/>
      <c r="AK243" s="721"/>
      <c r="AL243" s="721"/>
      <c r="AM243" s="721"/>
      <c r="AN243" s="721"/>
      <c r="AO243" s="721"/>
      <c r="AP243" s="721"/>
      <c r="AQ243" s="721"/>
      <c r="AR243" s="651"/>
      <c r="AT243" s="212"/>
      <c r="AU243" s="212"/>
      <c r="AV243" s="212"/>
      <c r="AW243" s="212"/>
      <c r="AX243" s="212"/>
      <c r="AY243" s="212"/>
      <c r="AZ243" s="212"/>
      <c r="BA243" s="212"/>
    </row>
    <row r="244" spans="3:53" ht="15.75" customHeight="1" x14ac:dyDescent="0.25">
      <c r="C244" s="569" t="str">
        <f>C104</f>
        <v>National rail (diesel)</v>
      </c>
      <c r="D244" s="532">
        <f>(D103*0.05*(1+'Growth, Modal Shift, InfraCosts'!C59)^'Growth, Modal Shift, InfraCosts'!$D$4)</f>
        <v>8.35</v>
      </c>
      <c r="E244" s="448">
        <f>D244/D281</f>
        <v>7.8128305133030694E-5</v>
      </c>
      <c r="F244" s="364">
        <v>750</v>
      </c>
      <c r="G244" s="425">
        <v>0.37</v>
      </c>
      <c r="H244" s="827">
        <f>F244*G244</f>
        <v>277.5</v>
      </c>
      <c r="I244" s="538">
        <f>D244/H244</f>
        <v>3.0090090090090088E-2</v>
      </c>
      <c r="J244" s="473">
        <f>I244/I281</f>
        <v>2.3717223941533026E-6</v>
      </c>
      <c r="K244" s="1342">
        <f>L244/H244</f>
        <v>0.75783783783783787</v>
      </c>
      <c r="L244" s="1343">
        <v>210.3</v>
      </c>
      <c r="M244" s="691">
        <f>D244*K244</f>
        <v>6.3279459459459462</v>
      </c>
      <c r="N244" s="367">
        <f>M244/M281</f>
        <v>5.1799012699692111E-5</v>
      </c>
      <c r="O244" s="450" t="s">
        <v>3</v>
      </c>
      <c r="P244" s="532">
        <f>M244</f>
        <v>6.3279459459459462</v>
      </c>
      <c r="Q244" s="436">
        <f>P244/SUM(P244:P245)</f>
        <v>0.10780745373455683</v>
      </c>
      <c r="R244" s="532">
        <f>D244</f>
        <v>8.35</v>
      </c>
      <c r="S244" s="367">
        <f>R244/SUM(R244:R245)</f>
        <v>4.9999999999999996E-2</v>
      </c>
      <c r="T244" s="525"/>
      <c r="U244" s="477" t="str">
        <f t="shared" si="172"/>
        <v>Syn-methanol trains</v>
      </c>
      <c r="V244" s="294">
        <f>V104</f>
        <v>0</v>
      </c>
      <c r="W244" s="532"/>
      <c r="X244" s="4"/>
      <c r="Y244" s="4"/>
      <c r="Z244" s="432"/>
      <c r="AA244" s="432"/>
      <c r="AB244" s="432">
        <f>L244</f>
        <v>210.3</v>
      </c>
      <c r="AC244" s="432">
        <f>K244</f>
        <v>0.75783783783783787</v>
      </c>
      <c r="AD244" s="748">
        <f>AC244*D243*V244</f>
        <v>0</v>
      </c>
      <c r="AE244" s="725"/>
      <c r="AF244" s="721"/>
      <c r="AG244" s="721"/>
      <c r="AH244" s="722">
        <f>AD244</f>
        <v>0</v>
      </c>
      <c r="AJ244" s="721"/>
      <c r="AK244" s="721"/>
      <c r="AL244" s="721"/>
      <c r="AM244" s="721"/>
      <c r="AN244" s="721"/>
      <c r="AO244" s="721"/>
      <c r="AP244" s="721"/>
      <c r="AQ244" s="721"/>
      <c r="AR244" s="649"/>
      <c r="AU244" s="70"/>
      <c r="AV244" s="70"/>
      <c r="AW244" s="70"/>
      <c r="AX244" s="70"/>
      <c r="AY244" s="70"/>
      <c r="AZ244" s="212"/>
      <c r="BA244" s="212"/>
    </row>
    <row r="245" spans="3:53" ht="15.75" customHeight="1" thickBot="1" x14ac:dyDescent="0.3">
      <c r="C245" s="569" t="str">
        <f>C105</f>
        <v>National rail (electricity)</v>
      </c>
      <c r="D245" s="532">
        <f>(D103*0.95*(1+'Growth, Modal Shift, InfraCosts'!C60)^'Growth, Modal Shift, InfraCosts'!$D$4)+'Growth, Modal Shift, InfraCosts'!R51*(D63*(1+'Growth, Modal Shift, InfraCosts'!C49)^'Growth, Modal Shift, InfraCosts'!$D$4)+'Growth, Modal Shift, InfraCosts'!R52*(D64*(1+'Growth, Modal Shift, InfraCosts'!C50)^'Growth, Modal Shift, InfraCosts'!$D$4)</f>
        <v>158.65</v>
      </c>
      <c r="E245" s="448">
        <f>D245/D281</f>
        <v>1.4844377975275834E-3</v>
      </c>
      <c r="F245" s="364">
        <v>750</v>
      </c>
      <c r="G245" s="426">
        <v>0.37</v>
      </c>
      <c r="H245" s="827">
        <f>F245*G245</f>
        <v>277.5</v>
      </c>
      <c r="I245" s="538">
        <f>D245/H245</f>
        <v>0.57171171171171176</v>
      </c>
      <c r="J245" s="473">
        <f>I245/I281</f>
        <v>4.5062725488912757E-5</v>
      </c>
      <c r="K245" s="1342">
        <f>L245/H245</f>
        <v>0.33009009009009005</v>
      </c>
      <c r="L245" s="1345">
        <v>91.6</v>
      </c>
      <c r="M245" s="691">
        <f>D245*K245</f>
        <v>52.368792792792789</v>
      </c>
      <c r="N245" s="367">
        <f>M245/M281</f>
        <v>4.2867808703064261E-4</v>
      </c>
      <c r="O245" s="450" t="s">
        <v>5</v>
      </c>
      <c r="P245" s="532">
        <f>M245</f>
        <v>52.368792792792789</v>
      </c>
      <c r="Q245" s="417">
        <f>P245/SUM(P244:P245)</f>
        <v>0.89219254626544309</v>
      </c>
      <c r="R245" s="532">
        <f>D245</f>
        <v>158.65</v>
      </c>
      <c r="S245" s="367">
        <f>R245/SUM(R244:R245)</f>
        <v>0.95000000000000007</v>
      </c>
      <c r="T245" s="524"/>
      <c r="U245" s="477" t="str">
        <f t="shared" si="172"/>
        <v>Electric trains</v>
      </c>
      <c r="V245" s="375">
        <f>V105</f>
        <v>0</v>
      </c>
      <c r="W245" s="532"/>
      <c r="X245" s="4"/>
      <c r="Y245" s="4"/>
      <c r="Z245" s="432"/>
      <c r="AA245" s="432"/>
      <c r="AB245" s="432">
        <f>L245</f>
        <v>91.6</v>
      </c>
      <c r="AC245" s="432">
        <f>K245</f>
        <v>0.33009009009009005</v>
      </c>
      <c r="AD245" s="748">
        <f>AC245*D243*V245</f>
        <v>0</v>
      </c>
      <c r="AE245" s="725"/>
      <c r="AF245" s="721"/>
      <c r="AG245" s="721"/>
      <c r="AH245" s="721"/>
      <c r="AI245" s="721"/>
      <c r="AJ245" s="721"/>
      <c r="AK245" s="721"/>
      <c r="AL245" s="721"/>
      <c r="AM245" s="721"/>
      <c r="AN245" s="721"/>
      <c r="AO245" s="721"/>
      <c r="AP245" s="722">
        <f>+AD245</f>
        <v>0</v>
      </c>
      <c r="AQ245" s="721"/>
      <c r="AR245" s="649"/>
      <c r="AU245" s="70"/>
      <c r="AV245" s="70"/>
      <c r="AW245" s="70"/>
      <c r="AX245" s="70"/>
      <c r="AY245" s="70"/>
      <c r="AZ245" s="70"/>
      <c r="BA245" s="70"/>
    </row>
    <row r="246" spans="3:53" ht="15.75" customHeight="1" x14ac:dyDescent="0.25">
      <c r="C246" s="569"/>
      <c r="D246" s="532"/>
      <c r="E246" s="448"/>
      <c r="F246" s="364"/>
      <c r="G246" s="364"/>
      <c r="H246" s="827"/>
      <c r="I246" s="538"/>
      <c r="J246" s="473"/>
      <c r="K246" s="1342"/>
      <c r="L246" s="364"/>
      <c r="M246" s="691"/>
      <c r="N246" s="367"/>
      <c r="T246" s="524"/>
      <c r="U246" s="477" t="str">
        <f t="shared" si="172"/>
        <v>Diesel trains</v>
      </c>
      <c r="V246" s="1577">
        <f>V106</f>
        <v>0</v>
      </c>
      <c r="W246" s="532">
        <f>AB246*74</f>
        <v>15562.2</v>
      </c>
      <c r="X246" s="4"/>
      <c r="Y246" s="4"/>
      <c r="Z246" s="432"/>
      <c r="AA246" s="432"/>
      <c r="AB246" s="432">
        <f>AB244</f>
        <v>210.3</v>
      </c>
      <c r="AC246" s="432">
        <f>AC244</f>
        <v>0.75783783783783787</v>
      </c>
      <c r="AD246" s="748">
        <f>AC246*D243*V246</f>
        <v>0</v>
      </c>
      <c r="AE246" s="725"/>
      <c r="AF246" s="722">
        <f>AD246</f>
        <v>0</v>
      </c>
      <c r="AG246" s="721"/>
      <c r="AH246" s="721"/>
      <c r="AI246" s="721"/>
      <c r="AJ246" s="721"/>
      <c r="AK246" s="721"/>
      <c r="AL246" s="721"/>
      <c r="AM246" s="721"/>
      <c r="AN246" s="721"/>
      <c r="AO246" s="721"/>
      <c r="AP246" s="721"/>
      <c r="AQ246" s="721"/>
      <c r="AR246" s="649"/>
      <c r="AU246" s="894"/>
      <c r="AV246" s="894"/>
      <c r="AW246" s="894"/>
      <c r="AX246" s="894"/>
      <c r="AY246" s="894"/>
      <c r="AZ246" s="70"/>
      <c r="BA246" s="70"/>
    </row>
    <row r="247" spans="3:53" ht="15.75" customHeight="1" thickBot="1" x14ac:dyDescent="0.3">
      <c r="C247" s="569"/>
      <c r="D247" s="532"/>
      <c r="E247" s="448"/>
      <c r="F247" s="416"/>
      <c r="G247" s="416"/>
      <c r="H247" s="829"/>
      <c r="I247" s="532"/>
      <c r="J247" s="417"/>
      <c r="K247" s="553"/>
      <c r="L247" s="416"/>
      <c r="M247" s="691"/>
      <c r="N247" s="367"/>
      <c r="T247" s="524"/>
      <c r="U247" s="477" t="str">
        <f t="shared" si="172"/>
        <v>Bio-methanol trains</v>
      </c>
      <c r="V247" s="295">
        <f>V107</f>
        <v>0</v>
      </c>
      <c r="W247" s="532"/>
      <c r="X247" s="4"/>
      <c r="Y247" s="4"/>
      <c r="Z247" s="432"/>
      <c r="AA247" s="432"/>
      <c r="AB247" s="432">
        <f>AB246</f>
        <v>210.3</v>
      </c>
      <c r="AC247" s="432">
        <f>AC246</f>
        <v>0.75783783783783787</v>
      </c>
      <c r="AD247" s="748">
        <f>AC247*D243*V247</f>
        <v>0</v>
      </c>
      <c r="AE247" s="725"/>
      <c r="AF247" s="721"/>
      <c r="AG247" s="721"/>
      <c r="AH247" s="721"/>
      <c r="AI247" s="722">
        <f>AD247</f>
        <v>0</v>
      </c>
      <c r="AJ247" s="721"/>
      <c r="AK247" s="721"/>
      <c r="AL247" s="721"/>
      <c r="AM247" s="721"/>
      <c r="AN247" s="721"/>
      <c r="AO247" s="721"/>
      <c r="AP247" s="721"/>
      <c r="AQ247" s="721"/>
      <c r="AR247" s="649"/>
      <c r="AU247" s="70"/>
      <c r="AV247" s="70"/>
      <c r="AW247" s="70"/>
      <c r="AX247" s="70"/>
      <c r="AY247" s="70"/>
      <c r="AZ247" s="894"/>
      <c r="BA247" s="894"/>
    </row>
    <row r="248" spans="3:53" ht="15.75" customHeight="1" thickBot="1" x14ac:dyDescent="0.3">
      <c r="C248" s="569"/>
      <c r="D248" s="532"/>
      <c r="E248" s="448"/>
      <c r="F248" s="416"/>
      <c r="G248" s="404"/>
      <c r="H248" s="830"/>
      <c r="I248" s="705"/>
      <c r="J248" s="458"/>
      <c r="K248" s="553"/>
      <c r="L248" s="432"/>
      <c r="M248" s="691"/>
      <c r="N248" s="367"/>
      <c r="T248" s="523"/>
      <c r="U248" s="477" t="str">
        <f t="shared" si="172"/>
        <v>No shift in technology</v>
      </c>
      <c r="V248" s="410">
        <f>1-SUM(V244:V247)</f>
        <v>1</v>
      </c>
      <c r="W248" s="705"/>
      <c r="X248" s="384"/>
      <c r="Y248" s="384"/>
      <c r="Z248" s="439"/>
      <c r="AA248" s="439"/>
      <c r="AB248" s="439">
        <f>L243</f>
        <v>97.534999999999997</v>
      </c>
      <c r="AC248" s="439">
        <f>K243</f>
        <v>0.35147747747747754</v>
      </c>
      <c r="AD248" s="748">
        <f>AC248*V248*D243</f>
        <v>58.696738738738752</v>
      </c>
      <c r="AE248" s="732"/>
      <c r="AF248" s="729">
        <f>+AD248*Q244</f>
        <v>6.3279459459459479</v>
      </c>
      <c r="AG248" s="730"/>
      <c r="AH248" s="730"/>
      <c r="AI248" s="730"/>
      <c r="AJ248" s="730"/>
      <c r="AK248" s="730"/>
      <c r="AL248" s="730"/>
      <c r="AM248" s="730"/>
      <c r="AN248" s="730"/>
      <c r="AO248" s="730"/>
      <c r="AP248" s="729">
        <f>AD248*Q245</f>
        <v>52.368792792792796</v>
      </c>
      <c r="AQ248" s="730"/>
      <c r="AR248" s="652"/>
      <c r="AU248" s="70"/>
      <c r="AV248" s="70"/>
      <c r="AW248" s="70"/>
      <c r="AX248" s="70"/>
      <c r="AY248" s="70"/>
      <c r="AZ248" s="70"/>
      <c r="BA248" s="70"/>
    </row>
    <row r="249" spans="3:53" ht="15.75" customHeight="1" thickBot="1" x14ac:dyDescent="0.3">
      <c r="C249" s="571" t="str">
        <f>C109</f>
        <v>International rail (electricity)</v>
      </c>
      <c r="D249" s="693">
        <f>(D109*(1+'Growth, Modal Shift, InfraCosts'!C61)^'Growth, Modal Shift, InfraCosts'!$D$4)+'Growth, Modal Shift, InfraCosts'!R53*(D64*(1+'Growth, Modal Shift, InfraCosts'!C50)^'Growth, Modal Shift, InfraCosts'!$D$4)</f>
        <v>474.51302390573898</v>
      </c>
      <c r="E249" s="392">
        <f>D249/D281</f>
        <v>4.4398680624316966E-3</v>
      </c>
      <c r="F249" s="56">
        <v>1000</v>
      </c>
      <c r="G249" s="453">
        <v>0.37</v>
      </c>
      <c r="H249" s="820">
        <f>F249*G249</f>
        <v>370</v>
      </c>
      <c r="I249" s="529">
        <f>D249/H249</f>
        <v>1.2824676321776729</v>
      </c>
      <c r="J249" s="539">
        <f>I249/I281</f>
        <v>1.0108501483065653E-4</v>
      </c>
      <c r="K249" s="552">
        <f>L249/H249</f>
        <v>0.27999999999999997</v>
      </c>
      <c r="L249" s="452">
        <v>103.6</v>
      </c>
      <c r="M249" s="693">
        <f>D249*K249</f>
        <v>132.86364669360691</v>
      </c>
      <c r="N249" s="413">
        <f>M249/M281</f>
        <v>1.0875892084411206E-3</v>
      </c>
      <c r="O249" s="682" t="s">
        <v>60</v>
      </c>
      <c r="P249" s="759">
        <f>SUM(P250:P251)</f>
        <v>132.86364669360691</v>
      </c>
      <c r="Q249" s="801">
        <f>SUM(Q250:Q251)</f>
        <v>1</v>
      </c>
      <c r="R249" s="759">
        <f>SUM(R250:R251)</f>
        <v>474.51302390573898</v>
      </c>
      <c r="S249" s="797">
        <f>SUM(S250:S251)</f>
        <v>1</v>
      </c>
      <c r="T249" s="680"/>
      <c r="U249" s="1543" t="str">
        <f t="shared" si="172"/>
        <v xml:space="preserve">Sum </v>
      </c>
      <c r="V249" s="619"/>
      <c r="W249" s="762"/>
      <c r="X249" s="447"/>
      <c r="Y249" s="619"/>
      <c r="Z249" s="447"/>
      <c r="AA249" s="447"/>
      <c r="AB249" s="447"/>
      <c r="AC249" s="447"/>
      <c r="AD249" s="749">
        <f>SUM(AD250:AD254)</f>
        <v>132.86364669360691</v>
      </c>
      <c r="AE249" s="725"/>
      <c r="AF249" s="721"/>
      <c r="AG249" s="721"/>
      <c r="AH249" s="721"/>
      <c r="AI249" s="721"/>
      <c r="AJ249" s="721"/>
      <c r="AK249" s="721"/>
      <c r="AL249" s="721"/>
      <c r="AM249" s="721"/>
      <c r="AN249" s="721"/>
      <c r="AO249" s="721"/>
      <c r="AP249" s="721"/>
      <c r="AQ249" s="721"/>
      <c r="AR249" s="651"/>
      <c r="AU249" s="70"/>
      <c r="AV249" s="70"/>
      <c r="AW249" s="70"/>
      <c r="AX249" s="70"/>
      <c r="AY249" s="70"/>
      <c r="AZ249" s="70"/>
      <c r="BA249" s="70"/>
    </row>
    <row r="250" spans="3:53" ht="15.75" customHeight="1" x14ac:dyDescent="0.25">
      <c r="C250" s="572"/>
      <c r="D250" s="532"/>
      <c r="E250" s="448"/>
      <c r="F250" s="416"/>
      <c r="G250" s="405"/>
      <c r="H250" s="829"/>
      <c r="I250" s="532"/>
      <c r="J250" s="417"/>
      <c r="K250" s="553"/>
      <c r="L250" s="432"/>
      <c r="M250" s="532"/>
      <c r="N250" s="367"/>
      <c r="O250" s="450" t="s">
        <v>3</v>
      </c>
      <c r="P250" s="532">
        <f>M250</f>
        <v>0</v>
      </c>
      <c r="Q250" s="436">
        <f>P250/SUM(P250:P251)</f>
        <v>0</v>
      </c>
      <c r="R250" s="532">
        <f>D250</f>
        <v>0</v>
      </c>
      <c r="S250" s="367">
        <f>R250/SUM(R250:R251)</f>
        <v>0</v>
      </c>
      <c r="T250" s="525"/>
      <c r="U250" s="477" t="str">
        <f t="shared" si="172"/>
        <v>Syn-methanol trains</v>
      </c>
      <c r="V250" s="294">
        <f>V110</f>
        <v>0</v>
      </c>
      <c r="W250" s="532"/>
      <c r="X250" s="4"/>
      <c r="Y250" s="4"/>
      <c r="Z250" s="432"/>
      <c r="AA250" s="432"/>
      <c r="AB250" s="432">
        <f>AB244</f>
        <v>210.3</v>
      </c>
      <c r="AC250" s="432">
        <f>AC244</f>
        <v>0.75783783783783787</v>
      </c>
      <c r="AD250" s="748">
        <f>AC250*D249*V250</f>
        <v>0</v>
      </c>
      <c r="AE250" s="725"/>
      <c r="AF250" s="721"/>
      <c r="AG250" s="721"/>
      <c r="AH250" s="722">
        <f>AD250</f>
        <v>0</v>
      </c>
      <c r="AJ250" s="721"/>
      <c r="AK250" s="721"/>
      <c r="AL250" s="721"/>
      <c r="AM250" s="721"/>
      <c r="AN250" s="721"/>
      <c r="AO250" s="721"/>
      <c r="AP250" s="721"/>
      <c r="AQ250" s="721"/>
      <c r="AR250" s="649"/>
      <c r="AU250" s="70"/>
      <c r="AV250" s="70"/>
      <c r="AW250" s="70"/>
      <c r="AX250" s="70"/>
      <c r="AY250" s="70"/>
      <c r="AZ250" s="70"/>
      <c r="BA250" s="70"/>
    </row>
    <row r="251" spans="3:53" ht="15.75" customHeight="1" x14ac:dyDescent="0.25">
      <c r="C251" s="572"/>
      <c r="D251" s="532"/>
      <c r="E251" s="448"/>
      <c r="F251" s="416"/>
      <c r="G251" s="416"/>
      <c r="H251" s="829"/>
      <c r="I251" s="532"/>
      <c r="J251" s="417"/>
      <c r="K251" s="553"/>
      <c r="L251" s="416"/>
      <c r="M251" s="691"/>
      <c r="N251" s="367"/>
      <c r="O251" s="450" t="s">
        <v>5</v>
      </c>
      <c r="P251" s="532">
        <f>M249</f>
        <v>132.86364669360691</v>
      </c>
      <c r="Q251" s="417">
        <f>P251/P251</f>
        <v>1</v>
      </c>
      <c r="R251" s="532">
        <f>D249</f>
        <v>474.51302390573898</v>
      </c>
      <c r="S251" s="367">
        <f>R251/R251</f>
        <v>1</v>
      </c>
      <c r="T251" s="524"/>
      <c r="U251" s="477" t="str">
        <f t="shared" si="172"/>
        <v>Electric trains</v>
      </c>
      <c r="V251" s="375">
        <f>V111</f>
        <v>0</v>
      </c>
      <c r="W251" s="532"/>
      <c r="X251" s="4"/>
      <c r="Y251" s="4"/>
      <c r="Z251" s="432"/>
      <c r="AA251" s="432"/>
      <c r="AB251" s="432">
        <f>L249</f>
        <v>103.6</v>
      </c>
      <c r="AC251" s="432">
        <f>K249</f>
        <v>0.27999999999999997</v>
      </c>
      <c r="AD251" s="748">
        <f>AC251*D249*V251</f>
        <v>0</v>
      </c>
      <c r="AE251" s="725"/>
      <c r="AF251" s="721"/>
      <c r="AG251" s="721"/>
      <c r="AH251" s="721"/>
      <c r="AI251" s="721"/>
      <c r="AJ251" s="721"/>
      <c r="AK251" s="721"/>
      <c r="AL251" s="721"/>
      <c r="AM251" s="721"/>
      <c r="AN251" s="721"/>
      <c r="AO251" s="721"/>
      <c r="AP251" s="722">
        <f>+AD251</f>
        <v>0</v>
      </c>
      <c r="AQ251" s="721"/>
      <c r="AR251" s="649"/>
      <c r="AU251" s="70"/>
      <c r="AV251" s="70"/>
      <c r="AW251" s="70"/>
      <c r="AX251" s="70"/>
      <c r="AY251" s="70"/>
      <c r="AZ251" s="70"/>
      <c r="BA251" s="70"/>
    </row>
    <row r="252" spans="3:53" ht="15.75" customHeight="1" x14ac:dyDescent="0.25">
      <c r="C252" s="572"/>
      <c r="D252" s="532"/>
      <c r="E252" s="448"/>
      <c r="F252" s="416"/>
      <c r="G252" s="405"/>
      <c r="H252" s="829"/>
      <c r="I252" s="532"/>
      <c r="J252" s="417"/>
      <c r="K252" s="553"/>
      <c r="L252" s="432"/>
      <c r="M252" s="532"/>
      <c r="N252" s="367"/>
      <c r="T252" s="524"/>
      <c r="U252" s="477" t="str">
        <f t="shared" si="172"/>
        <v>Diesel trains</v>
      </c>
      <c r="V252" s="375">
        <f>V112</f>
        <v>0</v>
      </c>
      <c r="W252" s="532">
        <f>AB252*74</f>
        <v>15562.2</v>
      </c>
      <c r="X252" s="4"/>
      <c r="Y252" s="4"/>
      <c r="Z252" s="432"/>
      <c r="AA252" s="432"/>
      <c r="AB252" s="432">
        <f>AB250</f>
        <v>210.3</v>
      </c>
      <c r="AC252" s="432">
        <f>AC250</f>
        <v>0.75783783783783787</v>
      </c>
      <c r="AD252" s="748">
        <f>AC252*D249*V252</f>
        <v>0</v>
      </c>
      <c r="AE252" s="725"/>
      <c r="AF252" s="722">
        <f>AD252</f>
        <v>0</v>
      </c>
      <c r="AG252" s="721"/>
      <c r="AH252" s="721"/>
      <c r="AI252" s="721"/>
      <c r="AJ252" s="721"/>
      <c r="AK252" s="721"/>
      <c r="AL252" s="721"/>
      <c r="AM252" s="721"/>
      <c r="AN252" s="721"/>
      <c r="AO252" s="721"/>
      <c r="AP252" s="721"/>
      <c r="AQ252" s="721"/>
      <c r="AR252" s="649"/>
      <c r="AU252" s="894"/>
      <c r="AV252" s="894"/>
      <c r="AW252" s="894"/>
      <c r="AX252" s="894"/>
      <c r="AY252" s="894"/>
      <c r="AZ252" s="70"/>
      <c r="BA252" s="70"/>
    </row>
    <row r="253" spans="3:53" ht="15.75" customHeight="1" thickBot="1" x14ac:dyDescent="0.3">
      <c r="C253" s="572"/>
      <c r="D253" s="532"/>
      <c r="E253" s="448"/>
      <c r="F253" s="416"/>
      <c r="G253" s="405"/>
      <c r="H253" s="829"/>
      <c r="I253" s="532"/>
      <c r="J253" s="417"/>
      <c r="K253" s="553"/>
      <c r="L253" s="432"/>
      <c r="M253" s="532"/>
      <c r="N253" s="367"/>
      <c r="T253" s="524"/>
      <c r="U253" s="477" t="str">
        <f t="shared" si="172"/>
        <v>Bio-methanol trains</v>
      </c>
      <c r="V253" s="295">
        <f>V113</f>
        <v>0</v>
      </c>
      <c r="W253" s="532"/>
      <c r="X253" s="4"/>
      <c r="Y253" s="4"/>
      <c r="Z253" s="432"/>
      <c r="AA253" s="432"/>
      <c r="AB253" s="432">
        <f>AB252</f>
        <v>210.3</v>
      </c>
      <c r="AC253" s="432">
        <f>AC252</f>
        <v>0.75783783783783787</v>
      </c>
      <c r="AD253" s="748">
        <f>AC253*D249*V253</f>
        <v>0</v>
      </c>
      <c r="AE253" s="725"/>
      <c r="AF253" s="721"/>
      <c r="AG253" s="721"/>
      <c r="AH253" s="721"/>
      <c r="AI253" s="722">
        <f>AD253</f>
        <v>0</v>
      </c>
      <c r="AJ253" s="721"/>
      <c r="AK253" s="721"/>
      <c r="AL253" s="721"/>
      <c r="AM253" s="721"/>
      <c r="AN253" s="721"/>
      <c r="AO253" s="721"/>
      <c r="AP253" s="721"/>
      <c r="AQ253" s="721"/>
      <c r="AR253" s="649"/>
      <c r="AU253" s="70"/>
      <c r="AV253" s="70"/>
      <c r="AW253" s="70"/>
      <c r="AX253" s="70"/>
      <c r="AY253" s="70"/>
      <c r="AZ253" s="894"/>
      <c r="BA253" s="894"/>
    </row>
    <row r="254" spans="3:53" ht="15.75" customHeight="1" thickBot="1" x14ac:dyDescent="0.3">
      <c r="C254" s="572"/>
      <c r="D254" s="532"/>
      <c r="E254" s="448"/>
      <c r="F254" s="416"/>
      <c r="G254" s="404"/>
      <c r="H254" s="830"/>
      <c r="I254" s="705"/>
      <c r="J254" s="458"/>
      <c r="K254" s="553"/>
      <c r="L254" s="432"/>
      <c r="M254" s="532"/>
      <c r="N254" s="367"/>
      <c r="T254" s="523"/>
      <c r="U254" s="477" t="str">
        <f t="shared" si="172"/>
        <v>No shift in technology</v>
      </c>
      <c r="V254" s="410">
        <f>1-SUM(V250:V253)</f>
        <v>1</v>
      </c>
      <c r="W254" s="705"/>
      <c r="X254" s="384"/>
      <c r="Y254" s="384"/>
      <c r="Z254" s="384"/>
      <c r="AA254" s="384"/>
      <c r="AB254" s="439">
        <f>L249</f>
        <v>103.6</v>
      </c>
      <c r="AC254" s="439">
        <f>K249</f>
        <v>0.27999999999999997</v>
      </c>
      <c r="AD254" s="748">
        <f>AC254*V254*D249</f>
        <v>132.86364669360691</v>
      </c>
      <c r="AE254" s="732"/>
      <c r="AF254" s="729">
        <f>+AD254*Q250</f>
        <v>0</v>
      </c>
      <c r="AG254" s="730"/>
      <c r="AH254" s="730"/>
      <c r="AI254" s="730"/>
      <c r="AJ254" s="730"/>
      <c r="AK254" s="730"/>
      <c r="AL254" s="730"/>
      <c r="AM254" s="730"/>
      <c r="AN254" s="730"/>
      <c r="AO254" s="730"/>
      <c r="AP254" s="729">
        <f>AD254*Q251</f>
        <v>132.86364669360691</v>
      </c>
      <c r="AQ254" s="730"/>
      <c r="AR254" s="652"/>
      <c r="AU254" s="70"/>
      <c r="AV254" s="70"/>
      <c r="AW254" s="70"/>
      <c r="AX254" s="70"/>
      <c r="AY254" s="70"/>
      <c r="AZ254" s="70"/>
      <c r="BA254" s="70"/>
    </row>
    <row r="255" spans="3:53" ht="15.75" customHeight="1" thickBot="1" x14ac:dyDescent="0.3">
      <c r="C255" s="575" t="str">
        <f>C115</f>
        <v>National air</v>
      </c>
      <c r="D255" s="693">
        <f>(D115*(1+'Growth, Modal Shift, InfraCosts'!C62)^'Growth, Modal Shift, InfraCosts'!$D$4)</f>
        <v>1.107</v>
      </c>
      <c r="E255" s="392">
        <f>D255/D281</f>
        <v>1.0357848357157484E-5</v>
      </c>
      <c r="F255" s="542">
        <v>25</v>
      </c>
      <c r="G255" s="453">
        <v>0.6</v>
      </c>
      <c r="H255" s="820">
        <f>F255*G255</f>
        <v>15</v>
      </c>
      <c r="I255" s="529">
        <f>D255/H255</f>
        <v>7.3800000000000004E-2</v>
      </c>
      <c r="J255" s="539">
        <f>I255/I281</f>
        <v>5.8169687150973136E-6</v>
      </c>
      <c r="K255" s="552">
        <f>L255/H255</f>
        <v>9.8664359368393715</v>
      </c>
      <c r="L255" s="452">
        <f>L115*$AV$10</f>
        <v>147.99653905259058</v>
      </c>
      <c r="M255" s="693">
        <f>D255*K255</f>
        <v>10.922144582081184</v>
      </c>
      <c r="N255" s="413">
        <f>M255/M281</f>
        <v>8.9405995365297552E-5</v>
      </c>
      <c r="O255" s="682" t="s">
        <v>60</v>
      </c>
      <c r="P255" s="759">
        <f>SUM(P256)</f>
        <v>10.922144582081184</v>
      </c>
      <c r="Q255" s="801">
        <f>SUM(Q256)</f>
        <v>1</v>
      </c>
      <c r="R255" s="759">
        <f>SUM(R256)</f>
        <v>1.107</v>
      </c>
      <c r="S255" s="797">
        <f>SUM(S256)</f>
        <v>1</v>
      </c>
      <c r="T255" s="680"/>
      <c r="U255" s="482" t="str">
        <f t="shared" si="172"/>
        <v>Sum</v>
      </c>
      <c r="V255" s="890"/>
      <c r="W255" s="762"/>
      <c r="X255" s="447"/>
      <c r="Y255" s="619"/>
      <c r="Z255" s="447"/>
      <c r="AA255" s="447"/>
      <c r="AB255" s="447"/>
      <c r="AC255" s="447"/>
      <c r="AD255" s="749">
        <f>SUM(AD256:AD258)</f>
        <v>10.922144582081184</v>
      </c>
      <c r="AE255" s="720"/>
      <c r="AF255" s="721"/>
      <c r="AG255" s="721"/>
      <c r="AH255" s="721"/>
      <c r="AI255" s="721"/>
      <c r="AJ255" s="721"/>
      <c r="AK255" s="721"/>
      <c r="AL255" s="721"/>
      <c r="AM255" s="721"/>
      <c r="AN255" s="721"/>
      <c r="AO255" s="721"/>
      <c r="AP255" s="721"/>
      <c r="AQ255" s="721"/>
      <c r="AR255" s="651"/>
      <c r="AU255" s="70"/>
      <c r="AV255" s="70"/>
      <c r="AW255" s="70"/>
      <c r="AX255" s="70"/>
      <c r="AY255" s="70"/>
      <c r="AZ255" s="70"/>
      <c r="BA255" s="70"/>
    </row>
    <row r="256" spans="3:53" ht="15.75" customHeight="1" x14ac:dyDescent="0.25">
      <c r="C256" s="573"/>
      <c r="D256" s="532"/>
      <c r="E256" s="448"/>
      <c r="F256" s="416"/>
      <c r="G256" s="405"/>
      <c r="H256" s="829"/>
      <c r="I256" s="532"/>
      <c r="J256" s="417"/>
      <c r="K256" s="553"/>
      <c r="L256" s="432"/>
      <c r="M256" s="770"/>
      <c r="N256" s="367"/>
      <c r="O256" s="450" t="s">
        <v>4</v>
      </c>
      <c r="P256" s="532">
        <f>M255</f>
        <v>10.922144582081184</v>
      </c>
      <c r="Q256" s="436">
        <f>P256/P256</f>
        <v>1</v>
      </c>
      <c r="R256" s="532">
        <f>D255</f>
        <v>1.107</v>
      </c>
      <c r="S256" s="367">
        <f>R256/R256</f>
        <v>1</v>
      </c>
      <c r="T256" s="525"/>
      <c r="U256" s="1546" t="str">
        <f t="shared" si="172"/>
        <v>Gas-turbines Bio-jetfuel</v>
      </c>
      <c r="V256" s="294">
        <f>V116</f>
        <v>0</v>
      </c>
      <c r="W256" s="532"/>
      <c r="X256" s="4"/>
      <c r="Y256" s="4"/>
      <c r="Z256" s="4"/>
      <c r="AA256" s="421">
        <f>1/AB256</f>
        <v>6.7569147657206355E-3</v>
      </c>
      <c r="AB256" s="416">
        <f>AB258</f>
        <v>147.99653905259058</v>
      </c>
      <c r="AC256" s="411">
        <f>AC258</f>
        <v>9.8664359368393715</v>
      </c>
      <c r="AD256" s="748">
        <f>AC256*D255*V256</f>
        <v>0</v>
      </c>
      <c r="AE256" s="720"/>
      <c r="AF256" s="733"/>
      <c r="AG256" s="733"/>
      <c r="AH256" s="733"/>
      <c r="AI256" s="733"/>
      <c r="AJ256" s="733"/>
      <c r="AK256" s="733"/>
      <c r="AL256" s="733"/>
      <c r="AM256" s="722">
        <f>AD256</f>
        <v>0</v>
      </c>
      <c r="AN256" s="721"/>
      <c r="AO256" s="721"/>
      <c r="AP256" s="721"/>
      <c r="AQ256" s="721"/>
      <c r="AR256" s="649"/>
      <c r="AU256" s="70"/>
      <c r="AV256" s="70"/>
      <c r="AW256" s="70"/>
      <c r="AX256" s="70"/>
      <c r="AY256" s="70"/>
      <c r="AZ256" s="70"/>
      <c r="BA256" s="70"/>
    </row>
    <row r="257" spans="3:53" ht="15.75" customHeight="1" thickBot="1" x14ac:dyDescent="0.3">
      <c r="C257" s="573"/>
      <c r="D257" s="532"/>
      <c r="E257" s="448"/>
      <c r="F257" s="416"/>
      <c r="G257" s="405"/>
      <c r="H257" s="829"/>
      <c r="I257" s="532"/>
      <c r="J257" s="417"/>
      <c r="K257" s="553"/>
      <c r="L257" s="432"/>
      <c r="M257" s="770"/>
      <c r="N257" s="367"/>
      <c r="T257" s="524"/>
      <c r="U257" s="1546" t="s">
        <v>98</v>
      </c>
      <c r="V257" s="295">
        <f>V117</f>
        <v>0</v>
      </c>
      <c r="W257" s="532"/>
      <c r="X257" s="612"/>
      <c r="Y257" s="612"/>
      <c r="Z257" s="421"/>
      <c r="AA257" s="421">
        <f>1/AB257</f>
        <v>6.7569147657206355E-3</v>
      </c>
      <c r="AB257" s="416">
        <f>AB258</f>
        <v>147.99653905259058</v>
      </c>
      <c r="AC257" s="411">
        <f>AC258</f>
        <v>9.8664359368393715</v>
      </c>
      <c r="AD257" s="748">
        <f>AC257*D255*V257</f>
        <v>0</v>
      </c>
      <c r="AE257" s="736"/>
      <c r="AF257" s="733"/>
      <c r="AG257" s="733"/>
      <c r="AH257" s="733"/>
      <c r="AI257" s="733"/>
      <c r="AJ257" s="733"/>
      <c r="AK257" s="733"/>
      <c r="AL257" s="733"/>
      <c r="AM257" s="733"/>
      <c r="AN257" s="721"/>
      <c r="AO257" s="721"/>
      <c r="AP257" s="721"/>
      <c r="AQ257" s="722">
        <f>AD257</f>
        <v>0</v>
      </c>
      <c r="AR257" s="649"/>
      <c r="AU257" s="70"/>
      <c r="AV257" s="70"/>
      <c r="AW257" s="70"/>
      <c r="AX257" s="70"/>
      <c r="AY257" s="211"/>
      <c r="AZ257" s="70"/>
      <c r="BA257" s="70"/>
    </row>
    <row r="258" spans="3:53" ht="15.75" customHeight="1" thickBot="1" x14ac:dyDescent="0.3">
      <c r="C258" s="573"/>
      <c r="D258" s="532"/>
      <c r="E258" s="448"/>
      <c r="F258" s="416"/>
      <c r="G258" s="404"/>
      <c r="H258" s="830"/>
      <c r="I258" s="705"/>
      <c r="J258" s="458"/>
      <c r="K258" s="553"/>
      <c r="L258" s="432"/>
      <c r="M258" s="770"/>
      <c r="N258" s="367"/>
      <c r="O258" s="450"/>
      <c r="P258" s="532"/>
      <c r="Q258" s="417"/>
      <c r="R258" s="532"/>
      <c r="S258" s="366"/>
      <c r="T258" s="523"/>
      <c r="U258" s="483" t="str">
        <f t="shared" ref="U258:U280" si="173">U118</f>
        <v>No shift in technology</v>
      </c>
      <c r="V258" s="410">
        <f>1-SUM(V256:V257)</f>
        <v>1</v>
      </c>
      <c r="W258" s="705">
        <f>AB258*72</f>
        <v>10655.750811786522</v>
      </c>
      <c r="X258" s="384"/>
      <c r="Y258" s="384"/>
      <c r="Z258" s="384"/>
      <c r="AA258" s="454">
        <f>1/AB258</f>
        <v>6.7569147657206355E-3</v>
      </c>
      <c r="AB258" s="385">
        <f>L255</f>
        <v>147.99653905259058</v>
      </c>
      <c r="AC258" s="406">
        <f>K255</f>
        <v>9.8664359368393715</v>
      </c>
      <c r="AD258" s="747">
        <f>AC258*V258*D255</f>
        <v>10.922144582081184</v>
      </c>
      <c r="AE258" s="734"/>
      <c r="AF258" s="735"/>
      <c r="AG258" s="729">
        <f>+AD258</f>
        <v>10.922144582081184</v>
      </c>
      <c r="AH258" s="735"/>
      <c r="AI258" s="735"/>
      <c r="AJ258" s="730"/>
      <c r="AK258" s="730"/>
      <c r="AL258" s="730"/>
      <c r="AM258" s="730"/>
      <c r="AN258" s="730"/>
      <c r="AO258" s="730"/>
      <c r="AP258" s="730"/>
      <c r="AQ258" s="730"/>
      <c r="AR258" s="652"/>
      <c r="AU258" s="70"/>
      <c r="AV258" s="70"/>
      <c r="AW258" s="70"/>
      <c r="AX258" s="70"/>
      <c r="AY258" s="211"/>
      <c r="AZ258" s="211"/>
      <c r="BA258" s="70"/>
    </row>
    <row r="259" spans="3:53" ht="15.75" customHeight="1" thickBot="1" x14ac:dyDescent="0.3">
      <c r="C259" s="571" t="str">
        <f>C119</f>
        <v>International air</v>
      </c>
      <c r="D259" s="693">
        <f>(D119*(1+'Growth, Modal Shift, InfraCosts'!C63)^'Growth, Modal Shift, InfraCosts'!$D$4)</f>
        <v>738.13137052003844</v>
      </c>
      <c r="E259" s="392">
        <f>D259/D281</f>
        <v>6.9064614304493064E-3</v>
      </c>
      <c r="F259" s="56">
        <v>50</v>
      </c>
      <c r="G259" s="453">
        <v>0.6</v>
      </c>
      <c r="H259" s="820">
        <f>F259*G259</f>
        <v>30</v>
      </c>
      <c r="I259" s="529">
        <f>D259/H259</f>
        <v>24.604379017334615</v>
      </c>
      <c r="J259" s="539">
        <f>I259/I281</f>
        <v>1.9393347289733366E-3</v>
      </c>
      <c r="K259" s="552">
        <f>L259/H259</f>
        <v>9.8664359368393715</v>
      </c>
      <c r="L259" s="452">
        <f>L119*$AV$10</f>
        <v>295.99307810518116</v>
      </c>
      <c r="M259" s="693">
        <f>D259*K259</f>
        <v>7282.7258802074048</v>
      </c>
      <c r="N259" s="413">
        <f>M259/M281</f>
        <v>5.9614606948234221E-2</v>
      </c>
      <c r="O259" s="682" t="s">
        <v>60</v>
      </c>
      <c r="P259" s="759">
        <f>SUM(P260)</f>
        <v>7282.7258802074048</v>
      </c>
      <c r="Q259" s="801">
        <f>SUM(Q260)</f>
        <v>1</v>
      </c>
      <c r="R259" s="759">
        <f>SUM(R260)</f>
        <v>738.13137052003844</v>
      </c>
      <c r="S259" s="797">
        <f>SUM(S260)</f>
        <v>1</v>
      </c>
      <c r="T259" s="680"/>
      <c r="U259" s="484" t="str">
        <f t="shared" si="173"/>
        <v>Sum</v>
      </c>
      <c r="V259" s="619"/>
      <c r="W259" s="762"/>
      <c r="X259" s="447"/>
      <c r="Y259" s="619"/>
      <c r="Z259" s="447"/>
      <c r="AA259" s="447"/>
      <c r="AB259" s="447"/>
      <c r="AC259" s="447"/>
      <c r="AD259" s="749">
        <f>SUM(AD260:AD262)</f>
        <v>7282.7258802074048</v>
      </c>
      <c r="AE259" s="725"/>
      <c r="AF259" s="721"/>
      <c r="AG259" s="721"/>
      <c r="AH259" s="721"/>
      <c r="AI259" s="721"/>
      <c r="AJ259" s="721"/>
      <c r="AK259" s="721"/>
      <c r="AL259" s="721"/>
      <c r="AM259" s="721"/>
      <c r="AN259" s="721"/>
      <c r="AO259" s="721"/>
      <c r="AP259" s="721"/>
      <c r="AQ259" s="721"/>
      <c r="AR259" s="651"/>
      <c r="AU259" s="70"/>
      <c r="AV259" s="70"/>
      <c r="AW259" s="70"/>
      <c r="AX259" s="70"/>
      <c r="AY259" s="70"/>
      <c r="AZ259" s="211"/>
      <c r="BA259" s="70"/>
    </row>
    <row r="260" spans="3:53" ht="15.75" customHeight="1" x14ac:dyDescent="0.25">
      <c r="C260" s="572"/>
      <c r="D260" s="532"/>
      <c r="E260" s="448"/>
      <c r="F260" s="416"/>
      <c r="G260" s="405"/>
      <c r="H260" s="829"/>
      <c r="I260" s="532"/>
      <c r="J260" s="417"/>
      <c r="K260" s="553"/>
      <c r="L260" s="432"/>
      <c r="M260" s="770"/>
      <c r="N260" s="367"/>
      <c r="O260" s="450" t="s">
        <v>4</v>
      </c>
      <c r="P260" s="532">
        <f>M259</f>
        <v>7282.7258802074048</v>
      </c>
      <c r="Q260" s="436">
        <f>P260/P260</f>
        <v>1</v>
      </c>
      <c r="R260" s="532">
        <f>D259</f>
        <v>738.13137052003844</v>
      </c>
      <c r="S260" s="367">
        <f>R260/R260</f>
        <v>1</v>
      </c>
      <c r="T260" s="525"/>
      <c r="U260" s="1544" t="str">
        <f t="shared" si="173"/>
        <v>Gas-turbines Bio-jetfuel</v>
      </c>
      <c r="V260" s="294">
        <f>V120</f>
        <v>0</v>
      </c>
      <c r="W260" s="532"/>
      <c r="X260" s="4"/>
      <c r="Y260" s="4"/>
      <c r="Z260" s="4"/>
      <c r="AA260" s="421">
        <f>1/AB260</f>
        <v>3.3784573828603177E-3</v>
      </c>
      <c r="AB260" s="416">
        <f>AB262</f>
        <v>295.99307810518116</v>
      </c>
      <c r="AC260" s="411">
        <f>AC262</f>
        <v>9.8664359368393715</v>
      </c>
      <c r="AD260" s="748">
        <f>AC260*D259*V260</f>
        <v>0</v>
      </c>
      <c r="AE260" s="720"/>
      <c r="AF260" s="733"/>
      <c r="AG260" s="733"/>
      <c r="AH260" s="733"/>
      <c r="AI260" s="733"/>
      <c r="AJ260" s="733"/>
      <c r="AK260" s="733"/>
      <c r="AL260" s="733"/>
      <c r="AM260" s="722">
        <f>AD260</f>
        <v>0</v>
      </c>
      <c r="AN260" s="721"/>
      <c r="AO260" s="721"/>
      <c r="AP260" s="721"/>
      <c r="AQ260" s="721"/>
      <c r="AR260" s="649"/>
      <c r="AU260" s="70"/>
      <c r="AV260" s="70"/>
      <c r="AW260" s="70"/>
      <c r="AX260" s="70"/>
      <c r="AY260" s="70"/>
      <c r="AZ260" s="70"/>
      <c r="BA260" s="70"/>
    </row>
    <row r="261" spans="3:53" ht="15.75" customHeight="1" thickBot="1" x14ac:dyDescent="0.3">
      <c r="C261" s="572"/>
      <c r="D261" s="532"/>
      <c r="E261" s="448"/>
      <c r="F261" s="416"/>
      <c r="G261" s="405"/>
      <c r="H261" s="829"/>
      <c r="I261" s="532"/>
      <c r="J261" s="417"/>
      <c r="K261" s="553"/>
      <c r="L261" s="432"/>
      <c r="M261" s="770"/>
      <c r="N261" s="367"/>
      <c r="T261" s="524"/>
      <c r="U261" s="1546" t="str">
        <f t="shared" si="173"/>
        <v>Gas-turbines Syn-jetfuel</v>
      </c>
      <c r="V261" s="1578">
        <f>V121</f>
        <v>0</v>
      </c>
      <c r="W261" s="532"/>
      <c r="X261" s="612"/>
      <c r="Y261" s="612"/>
      <c r="Z261" s="421"/>
      <c r="AA261" s="421">
        <f>1/AB261</f>
        <v>3.3784573828603177E-3</v>
      </c>
      <c r="AB261" s="416">
        <f>AB262</f>
        <v>295.99307810518116</v>
      </c>
      <c r="AC261" s="411">
        <f>AC262</f>
        <v>9.8664359368393715</v>
      </c>
      <c r="AD261" s="748">
        <f>AC261*D259*V261</f>
        <v>0</v>
      </c>
      <c r="AE261" s="736"/>
      <c r="AF261" s="733"/>
      <c r="AG261" s="733"/>
      <c r="AH261" s="733"/>
      <c r="AI261" s="733"/>
      <c r="AJ261" s="733"/>
      <c r="AK261" s="733"/>
      <c r="AL261" s="733"/>
      <c r="AM261" s="733"/>
      <c r="AN261" s="721"/>
      <c r="AO261" s="721"/>
      <c r="AP261" s="721"/>
      <c r="AQ261" s="722">
        <f>AD261</f>
        <v>0</v>
      </c>
      <c r="AR261" s="649"/>
      <c r="AU261" s="70"/>
      <c r="AV261" s="70"/>
      <c r="AW261" s="70"/>
      <c r="AX261" s="70"/>
      <c r="AY261" s="70"/>
      <c r="AZ261" s="70"/>
      <c r="BA261" s="70"/>
    </row>
    <row r="262" spans="3:53" ht="15.75" customHeight="1" thickBot="1" x14ac:dyDescent="0.3">
      <c r="C262" s="576"/>
      <c r="D262" s="705"/>
      <c r="E262" s="456"/>
      <c r="F262" s="440"/>
      <c r="G262" s="404"/>
      <c r="H262" s="830"/>
      <c r="I262" s="705"/>
      <c r="J262" s="458"/>
      <c r="K262" s="554"/>
      <c r="L262" s="439"/>
      <c r="M262" s="771"/>
      <c r="N262" s="785"/>
      <c r="O262" s="457"/>
      <c r="P262" s="705"/>
      <c r="Q262" s="443"/>
      <c r="R262" s="705"/>
      <c r="S262" s="390"/>
      <c r="T262" s="523"/>
      <c r="U262" s="485" t="str">
        <f t="shared" si="173"/>
        <v>No shift in technology</v>
      </c>
      <c r="V262" s="412">
        <f>1-SUM(V260:V261)</f>
        <v>1</v>
      </c>
      <c r="W262" s="705">
        <f>AB262*72</f>
        <v>21311.501623573044</v>
      </c>
      <c r="X262" s="384"/>
      <c r="Y262" s="384"/>
      <c r="Z262" s="384"/>
      <c r="AA262" s="454">
        <f>1/AB262</f>
        <v>3.3784573828603177E-3</v>
      </c>
      <c r="AB262" s="385">
        <f>L259</f>
        <v>295.99307810518116</v>
      </c>
      <c r="AC262" s="406">
        <f>K259</f>
        <v>9.8664359368393715</v>
      </c>
      <c r="AD262" s="747">
        <f>AC262*V262*D259</f>
        <v>7282.7258802074048</v>
      </c>
      <c r="AE262" s="734"/>
      <c r="AF262" s="735"/>
      <c r="AG262" s="729">
        <f>+AD262</f>
        <v>7282.7258802074048</v>
      </c>
      <c r="AH262" s="735"/>
      <c r="AI262" s="735"/>
      <c r="AJ262" s="730"/>
      <c r="AK262" s="730"/>
      <c r="AL262" s="730"/>
      <c r="AM262" s="730"/>
      <c r="AN262" s="730"/>
      <c r="AO262" s="730"/>
      <c r="AP262" s="730"/>
      <c r="AQ262" s="730"/>
      <c r="AR262" s="652"/>
      <c r="AU262" s="70"/>
      <c r="AV262" s="70"/>
      <c r="AW262" s="70"/>
      <c r="AX262" s="70"/>
      <c r="AY262" s="70"/>
      <c r="AZ262" s="70"/>
      <c r="BA262" s="70"/>
    </row>
    <row r="263" spans="3:53" ht="15.75" customHeight="1" thickBot="1" x14ac:dyDescent="0.3">
      <c r="C263" s="575" t="str">
        <f>C123</f>
        <v>National sea</v>
      </c>
      <c r="D263" s="693">
        <f>(D123*(1+'Growth, Modal Shift, InfraCosts'!C64)^'Growth, Modal Shift, InfraCosts'!$D$4)</f>
        <v>2278.5708383888164</v>
      </c>
      <c r="E263" s="392">
        <f>D263/D281</f>
        <v>2.1319865596271501E-2</v>
      </c>
      <c r="F263" s="757">
        <v>20000</v>
      </c>
      <c r="G263" s="453">
        <v>0.6</v>
      </c>
      <c r="H263" s="757">
        <f>F263*G263</f>
        <v>12000</v>
      </c>
      <c r="I263" s="757">
        <f>D263/H263</f>
        <v>0.18988090319906803</v>
      </c>
      <c r="J263" s="539">
        <f>I263/I281</f>
        <v>1.4966548421455286E-5</v>
      </c>
      <c r="K263" s="552">
        <f>L263/H263</f>
        <v>0.21044100471692193</v>
      </c>
      <c r="L263" s="452">
        <f>L123*$AV$8</f>
        <v>2525.292056603063</v>
      </c>
      <c r="M263" s="693">
        <f>D263*K263</f>
        <v>479.50473654922166</v>
      </c>
      <c r="N263" s="413">
        <f>M263/M281</f>
        <v>3.9251081077878447E-3</v>
      </c>
      <c r="O263" s="682" t="s">
        <v>60</v>
      </c>
      <c r="P263" s="759">
        <f>SUM(P264)</f>
        <v>479.50473654922166</v>
      </c>
      <c r="Q263" s="801">
        <f>SUM(Q264)</f>
        <v>1</v>
      </c>
      <c r="R263" s="759">
        <f>SUM(R264)</f>
        <v>2278.5708383888164</v>
      </c>
      <c r="S263" s="797">
        <f>SUM(S264)</f>
        <v>1</v>
      </c>
      <c r="T263" s="680"/>
      <c r="U263" s="1547" t="str">
        <f t="shared" si="173"/>
        <v xml:space="preserve">Sum </v>
      </c>
      <c r="V263" s="381"/>
      <c r="W263" s="538"/>
      <c r="X263" s="369"/>
      <c r="Y263" s="369"/>
      <c r="Z263" s="363"/>
      <c r="AA263" s="363"/>
      <c r="AB263" s="364"/>
      <c r="AC263" s="411"/>
      <c r="AD263" s="748">
        <f>SUM(AD264:AD267)</f>
        <v>479.50473654922166</v>
      </c>
      <c r="AE263" s="725"/>
      <c r="AF263" s="733"/>
      <c r="AG263" s="733"/>
      <c r="AH263" s="733"/>
      <c r="AI263" s="733"/>
      <c r="AJ263" s="733"/>
      <c r="AK263" s="733"/>
      <c r="AL263" s="733"/>
      <c r="AM263" s="733"/>
      <c r="AN263" s="721"/>
      <c r="AO263" s="721"/>
      <c r="AP263" s="721"/>
      <c r="AQ263" s="723"/>
      <c r="AR263" s="654"/>
      <c r="AU263" s="70"/>
      <c r="AV263" s="70"/>
      <c r="AW263" s="70"/>
      <c r="AX263" s="70"/>
      <c r="AY263" s="70"/>
      <c r="AZ263" s="70"/>
      <c r="BA263" s="70"/>
    </row>
    <row r="264" spans="3:53" ht="15.75" customHeight="1" x14ac:dyDescent="0.25">
      <c r="C264" s="573"/>
      <c r="D264" s="532"/>
      <c r="E264" s="448"/>
      <c r="F264" s="364"/>
      <c r="G264" s="381"/>
      <c r="H264" s="538"/>
      <c r="I264" s="538"/>
      <c r="J264" s="417"/>
      <c r="K264" s="553"/>
      <c r="L264" s="432"/>
      <c r="M264" s="532"/>
      <c r="N264" s="367"/>
      <c r="O264" s="450" t="s">
        <v>3</v>
      </c>
      <c r="P264" s="532">
        <f>M263</f>
        <v>479.50473654922166</v>
      </c>
      <c r="Q264" s="436">
        <f>P264/P264</f>
        <v>1</v>
      </c>
      <c r="R264" s="532">
        <f>D263</f>
        <v>2278.5708383888164</v>
      </c>
      <c r="S264" s="367">
        <f>R264/R264</f>
        <v>1</v>
      </c>
      <c r="T264" s="525"/>
      <c r="U264" s="1545" t="str">
        <f t="shared" si="173"/>
        <v>Bio-methanol</v>
      </c>
      <c r="V264" s="294">
        <f>V124</f>
        <v>0</v>
      </c>
      <c r="W264" s="538"/>
      <c r="X264" s="369"/>
      <c r="Y264" s="369"/>
      <c r="Z264" s="613"/>
      <c r="AA264" s="613"/>
      <c r="AB264" s="416">
        <f t="shared" ref="AB264:AC266" si="174">AB265</f>
        <v>2525.292056603063</v>
      </c>
      <c r="AC264" s="616">
        <f t="shared" si="174"/>
        <v>0.21044100471692193</v>
      </c>
      <c r="AD264" s="748">
        <f>AC264*D263*V264</f>
        <v>0</v>
      </c>
      <c r="AE264" s="720"/>
      <c r="AF264" s="733"/>
      <c r="AG264" s="733"/>
      <c r="AI264" s="738">
        <f>AD264</f>
        <v>0</v>
      </c>
      <c r="AJ264" s="733"/>
      <c r="AK264" s="733"/>
      <c r="AL264" s="733"/>
      <c r="AM264" s="733"/>
      <c r="AN264" s="721"/>
      <c r="AO264" s="721"/>
      <c r="AP264" s="721"/>
      <c r="AQ264" s="723"/>
      <c r="AR264" s="654"/>
      <c r="AU264" s="70"/>
      <c r="AV264" s="70"/>
      <c r="AW264" s="70"/>
      <c r="AX264" s="70"/>
      <c r="AY264" s="70"/>
      <c r="AZ264" s="70"/>
      <c r="BA264" s="70"/>
    </row>
    <row r="265" spans="3:53" ht="15.75" customHeight="1" x14ac:dyDescent="0.25">
      <c r="C265" s="573"/>
      <c r="D265" s="532"/>
      <c r="E265" s="448"/>
      <c r="F265" s="364"/>
      <c r="G265" s="381"/>
      <c r="H265" s="538"/>
      <c r="I265" s="538"/>
      <c r="J265" s="417"/>
      <c r="K265" s="553"/>
      <c r="L265" s="432"/>
      <c r="M265" s="532"/>
      <c r="N265" s="367"/>
      <c r="T265" s="525"/>
      <c r="U265" s="1545" t="str">
        <f t="shared" si="173"/>
        <v>Gasturbine biogas</v>
      </c>
      <c r="V265" s="375">
        <f>V125</f>
        <v>0</v>
      </c>
      <c r="W265" s="538"/>
      <c r="X265" s="369"/>
      <c r="Y265" s="369"/>
      <c r="Z265" s="613"/>
      <c r="AA265" s="613"/>
      <c r="AB265" s="416">
        <f t="shared" si="174"/>
        <v>2525.292056603063</v>
      </c>
      <c r="AC265" s="616">
        <f t="shared" si="174"/>
        <v>0.21044100471692193</v>
      </c>
      <c r="AD265" s="748">
        <f>AC265*D263*V265</f>
        <v>0</v>
      </c>
      <c r="AE265" s="720"/>
      <c r="AF265" s="733"/>
      <c r="AG265" s="733"/>
      <c r="AH265" s="721"/>
      <c r="AI265" s="721"/>
      <c r="AJ265" s="721"/>
      <c r="AK265" s="721"/>
      <c r="AL265" s="738">
        <f>AD265</f>
        <v>0</v>
      </c>
      <c r="AM265" s="721"/>
      <c r="AN265" s="721"/>
      <c r="AO265" s="721"/>
      <c r="AP265" s="721"/>
      <c r="AQ265" s="723"/>
      <c r="AR265" s="654"/>
      <c r="AU265" s="894"/>
      <c r="AV265" s="894"/>
      <c r="AW265" s="894"/>
      <c r="AX265" s="894"/>
      <c r="AY265" s="894"/>
      <c r="AZ265" s="70"/>
      <c r="BA265" s="70"/>
    </row>
    <row r="266" spans="3:53" ht="15.75" customHeight="1" thickBot="1" x14ac:dyDescent="0.3">
      <c r="C266" s="573"/>
      <c r="D266" s="532"/>
      <c r="E266" s="448"/>
      <c r="F266" s="364"/>
      <c r="G266" s="381"/>
      <c r="H266" s="538"/>
      <c r="I266" s="538"/>
      <c r="J266" s="417"/>
      <c r="K266" s="553"/>
      <c r="L266" s="432"/>
      <c r="M266" s="532"/>
      <c r="N266" s="367"/>
      <c r="O266" s="450"/>
      <c r="P266" s="532"/>
      <c r="Q266" s="417"/>
      <c r="R266" s="532"/>
      <c r="S266" s="895"/>
      <c r="T266" s="524"/>
      <c r="U266" s="1545" t="str">
        <f t="shared" si="173"/>
        <v>Syn-methanol</v>
      </c>
      <c r="V266" s="1578">
        <f>V126</f>
        <v>0</v>
      </c>
      <c r="W266" s="517"/>
      <c r="AB266" s="416">
        <f t="shared" si="174"/>
        <v>2525.292056603063</v>
      </c>
      <c r="AC266" s="616">
        <f t="shared" si="174"/>
        <v>0.21044100471692193</v>
      </c>
      <c r="AD266" s="748">
        <f>AC266*D263*V266</f>
        <v>0</v>
      </c>
      <c r="AE266" s="720"/>
      <c r="AF266" s="733"/>
      <c r="AG266" s="733"/>
      <c r="AH266" s="738">
        <f>AD266</f>
        <v>0</v>
      </c>
      <c r="AI266" s="721"/>
      <c r="AJ266" s="721"/>
      <c r="AK266" s="721"/>
      <c r="AL266" s="721"/>
      <c r="AM266" s="721"/>
      <c r="AN266" s="721"/>
      <c r="AO266" s="721"/>
      <c r="AP266" s="721"/>
      <c r="AQ266" s="721"/>
      <c r="AR266" s="649"/>
      <c r="AU266" s="70"/>
      <c r="AV266" s="70"/>
      <c r="AW266" s="70"/>
      <c r="AX266" s="70"/>
      <c r="AY266" s="70"/>
      <c r="AZ266" s="894"/>
      <c r="BA266" s="894"/>
    </row>
    <row r="267" spans="3:53" ht="15.75" customHeight="1" thickBot="1" x14ac:dyDescent="0.3">
      <c r="C267" s="573"/>
      <c r="D267" s="532"/>
      <c r="E267" s="448"/>
      <c r="F267" s="385"/>
      <c r="G267" s="665"/>
      <c r="H267" s="692"/>
      <c r="I267" s="692"/>
      <c r="J267" s="458"/>
      <c r="K267" s="553"/>
      <c r="L267" s="432"/>
      <c r="M267" s="532"/>
      <c r="N267" s="367"/>
      <c r="O267" s="457"/>
      <c r="P267" s="705"/>
      <c r="Q267" s="458"/>
      <c r="R267" s="705"/>
      <c r="S267" s="390"/>
      <c r="T267" s="527"/>
      <c r="U267" s="1548" t="str">
        <f t="shared" si="173"/>
        <v>No shift in technology</v>
      </c>
      <c r="V267" s="459">
        <f>1-SUM(V264:V266)</f>
        <v>1</v>
      </c>
      <c r="W267" s="692">
        <f>AB267*78</f>
        <v>196972.7804150389</v>
      </c>
      <c r="X267" s="408"/>
      <c r="Y267" s="408"/>
      <c r="Z267" s="454"/>
      <c r="AA267" s="454"/>
      <c r="AB267" s="440">
        <f>((I263*L263)+(I267*L267))/SUM(I263+I267)</f>
        <v>2525.292056603063</v>
      </c>
      <c r="AC267" s="406">
        <f>((K263*D263)+(K267*D267))/SUM(D263,D267)</f>
        <v>0.21044100471692193</v>
      </c>
      <c r="AD267" s="747">
        <f>(V267*D263*AC267)</f>
        <v>479.50473654922166</v>
      </c>
      <c r="AE267" s="734"/>
      <c r="AF267" s="907">
        <f>AD267</f>
        <v>479.50473654922166</v>
      </c>
      <c r="AG267" s="730"/>
      <c r="AH267" s="730"/>
      <c r="AI267" s="730"/>
      <c r="AJ267" s="730"/>
      <c r="AK267" s="730"/>
      <c r="AL267" s="730"/>
      <c r="AM267" s="730"/>
      <c r="AN267" s="730"/>
      <c r="AO267" s="730"/>
      <c r="AP267" s="730"/>
      <c r="AQ267" s="731"/>
      <c r="AR267" s="709"/>
      <c r="AU267" s="70"/>
      <c r="AV267" s="70"/>
      <c r="AW267" s="70"/>
      <c r="AX267" s="70"/>
      <c r="AY267" s="70"/>
      <c r="AZ267" s="70"/>
      <c r="BA267" s="70"/>
    </row>
    <row r="268" spans="3:53" ht="15.75" customHeight="1" thickBot="1" x14ac:dyDescent="0.3">
      <c r="C268" s="571" t="str">
        <f>C128</f>
        <v>International sea</v>
      </c>
      <c r="D268" s="693">
        <f>(D128*(1+'Growth, Modal Shift, InfraCosts'!C65)^'Growth, Modal Shift, InfraCosts'!$D$4)</f>
        <v>74935.398013304715</v>
      </c>
      <c r="E268" s="392">
        <f>D268/D281</f>
        <v>0.70114678338306269</v>
      </c>
      <c r="F268" s="757">
        <v>75000</v>
      </c>
      <c r="G268" s="453">
        <v>0.7</v>
      </c>
      <c r="H268" s="757">
        <f>F268*G268</f>
        <v>52500</v>
      </c>
      <c r="I268" s="757">
        <f>D268/H268</f>
        <v>1.4273409145391374</v>
      </c>
      <c r="J268" s="539">
        <f>I268/I281</f>
        <v>1.1250403042889635E-4</v>
      </c>
      <c r="K268" s="552">
        <f>L268/H268</f>
        <v>5.0399736423800627E-2</v>
      </c>
      <c r="L268" s="452">
        <f>L128*$AV$8</f>
        <v>2645.9861622495328</v>
      </c>
      <c r="M268" s="693">
        <f>D268*K268</f>
        <v>3776.7243086831509</v>
      </c>
      <c r="N268" s="413">
        <f>M268/M281</f>
        <v>3.0915338421000086E-2</v>
      </c>
      <c r="O268" s="682" t="s">
        <v>60</v>
      </c>
      <c r="P268" s="759">
        <f>SUM(P269)</f>
        <v>3776.7243086831509</v>
      </c>
      <c r="Q268" s="801">
        <f>SUM(Q269)</f>
        <v>1</v>
      </c>
      <c r="R268" s="759">
        <f>SUM(R269)</f>
        <v>74935.398013304715</v>
      </c>
      <c r="S268" s="797">
        <f>SUM(S269)</f>
        <v>1</v>
      </c>
      <c r="T268" s="680"/>
      <c r="U268" s="1547" t="str">
        <f t="shared" si="173"/>
        <v xml:space="preserve">Sum </v>
      </c>
      <c r="V268" s="381"/>
      <c r="W268" s="538"/>
      <c r="X268" s="369"/>
      <c r="Y268" s="369"/>
      <c r="Z268" s="363"/>
      <c r="AA268" s="363"/>
      <c r="AB268" s="364"/>
      <c r="AC268" s="411"/>
      <c r="AD268" s="748">
        <f>SUM(AD269:AD272)</f>
        <v>3776.7243086831509</v>
      </c>
      <c r="AE268" s="725"/>
      <c r="AF268" s="733"/>
      <c r="AG268" s="733"/>
      <c r="AH268" s="733"/>
      <c r="AI268" s="733"/>
      <c r="AJ268" s="733"/>
      <c r="AK268" s="733"/>
      <c r="AL268" s="733"/>
      <c r="AM268" s="733"/>
      <c r="AN268" s="721"/>
      <c r="AO268" s="721"/>
      <c r="AP268" s="721"/>
      <c r="AQ268" s="723"/>
      <c r="AR268" s="654"/>
      <c r="AU268" s="70"/>
      <c r="AV268" s="70"/>
      <c r="AW268" s="70"/>
      <c r="AX268" s="70"/>
      <c r="AY268" s="70"/>
      <c r="AZ268" s="70"/>
      <c r="BA268" s="70"/>
    </row>
    <row r="269" spans="3:53" ht="15.75" customHeight="1" x14ac:dyDescent="0.25">
      <c r="C269" s="572"/>
      <c r="D269" s="532"/>
      <c r="E269" s="448"/>
      <c r="F269" s="364"/>
      <c r="G269" s="381"/>
      <c r="H269" s="827"/>
      <c r="I269" s="538"/>
      <c r="J269" s="417"/>
      <c r="K269" s="553"/>
      <c r="L269" s="432"/>
      <c r="M269" s="532"/>
      <c r="N269" s="367"/>
      <c r="O269" s="450" t="s">
        <v>3</v>
      </c>
      <c r="P269" s="532">
        <f>M268</f>
        <v>3776.7243086831509</v>
      </c>
      <c r="Q269" s="436">
        <f>Q264</f>
        <v>1</v>
      </c>
      <c r="R269" s="532">
        <f>D268</f>
        <v>74935.398013304715</v>
      </c>
      <c r="S269" s="367">
        <f>R269/R269</f>
        <v>1</v>
      </c>
      <c r="T269" s="525"/>
      <c r="U269" s="1545" t="str">
        <f t="shared" si="173"/>
        <v>Bio-methanol</v>
      </c>
      <c r="V269" s="294">
        <f>V129</f>
        <v>0</v>
      </c>
      <c r="W269" s="538"/>
      <c r="X269" s="369"/>
      <c r="Y269" s="369"/>
      <c r="Z269" s="613"/>
      <c r="AA269" s="613"/>
      <c r="AB269" s="416">
        <f t="shared" ref="AB269:AC271" si="175">AB270</f>
        <v>2645.9861622495328</v>
      </c>
      <c r="AC269" s="616">
        <f t="shared" si="175"/>
        <v>5.0399736423800627E-2</v>
      </c>
      <c r="AD269" s="748">
        <f>AC269*D268*V269</f>
        <v>0</v>
      </c>
      <c r="AE269" s="720"/>
      <c r="AF269" s="733"/>
      <c r="AG269" s="733"/>
      <c r="AI269" s="738">
        <f>AD269</f>
        <v>0</v>
      </c>
      <c r="AJ269" s="733"/>
      <c r="AK269" s="733"/>
      <c r="AL269" s="733"/>
      <c r="AM269" s="733"/>
      <c r="AN269" s="721"/>
      <c r="AO269" s="721"/>
      <c r="AP269" s="721"/>
      <c r="AQ269" s="723"/>
      <c r="AR269" s="654"/>
      <c r="AU269" s="70"/>
      <c r="AV269" s="70"/>
      <c r="AW269" s="70"/>
      <c r="AX269" s="70"/>
      <c r="AY269" s="70"/>
      <c r="AZ269" s="70"/>
      <c r="BA269" s="70"/>
    </row>
    <row r="270" spans="3:53" ht="15.75" customHeight="1" x14ac:dyDescent="0.25">
      <c r="C270" s="572"/>
      <c r="D270" s="532"/>
      <c r="E270" s="448"/>
      <c r="F270" s="416"/>
      <c r="G270" s="405"/>
      <c r="H270" s="829"/>
      <c r="I270" s="532"/>
      <c r="J270" s="417"/>
      <c r="K270" s="553"/>
      <c r="L270" s="432"/>
      <c r="M270" s="532"/>
      <c r="N270" s="367"/>
      <c r="T270" s="525"/>
      <c r="U270" s="1545" t="str">
        <f t="shared" si="173"/>
        <v>Gas-turbine biogas</v>
      </c>
      <c r="V270" s="375">
        <f>V130</f>
        <v>0</v>
      </c>
      <c r="W270" s="538"/>
      <c r="X270" s="369"/>
      <c r="Y270" s="369"/>
      <c r="Z270" s="613"/>
      <c r="AA270" s="613"/>
      <c r="AB270" s="416">
        <f t="shared" si="175"/>
        <v>2645.9861622495328</v>
      </c>
      <c r="AC270" s="616">
        <f t="shared" si="175"/>
        <v>5.0399736423800627E-2</v>
      </c>
      <c r="AD270" s="748">
        <f>AC270*D268*V270</f>
        <v>0</v>
      </c>
      <c r="AE270" s="720"/>
      <c r="AF270" s="733"/>
      <c r="AG270" s="733"/>
      <c r="AH270" s="721"/>
      <c r="AI270" s="721"/>
      <c r="AJ270" s="721"/>
      <c r="AK270" s="721"/>
      <c r="AL270" s="738">
        <f>AD270</f>
        <v>0</v>
      </c>
      <c r="AM270" s="721"/>
      <c r="AN270" s="721"/>
      <c r="AO270" s="721"/>
      <c r="AP270" s="721"/>
      <c r="AQ270" s="723"/>
      <c r="AR270" s="654"/>
      <c r="AU270" s="894"/>
      <c r="AV270" s="894"/>
      <c r="AW270" s="894"/>
      <c r="AX270" s="894"/>
      <c r="AY270" s="894"/>
      <c r="AZ270" s="70"/>
      <c r="BA270" s="70"/>
    </row>
    <row r="271" spans="3:53" ht="15.75" customHeight="1" thickBot="1" x14ac:dyDescent="0.3">
      <c r="C271" s="572"/>
      <c r="D271" s="532"/>
      <c r="E271" s="448"/>
      <c r="F271" s="416"/>
      <c r="G271" s="405"/>
      <c r="H271" s="829"/>
      <c r="I271" s="532"/>
      <c r="J271" s="417"/>
      <c r="K271" s="553"/>
      <c r="L271" s="432"/>
      <c r="M271" s="532"/>
      <c r="N271" s="367"/>
      <c r="O271" s="417"/>
      <c r="P271" s="532"/>
      <c r="Q271" s="436"/>
      <c r="R271" s="532"/>
      <c r="S271" s="417"/>
      <c r="T271" s="524"/>
      <c r="U271" s="1545" t="str">
        <f t="shared" si="173"/>
        <v>Syn-methanol</v>
      </c>
      <c r="V271" s="1578">
        <f>V131</f>
        <v>0</v>
      </c>
      <c r="W271" s="517"/>
      <c r="X271" s="4"/>
      <c r="AB271" s="416">
        <f t="shared" si="175"/>
        <v>2645.9861622495328</v>
      </c>
      <c r="AC271" s="616">
        <f t="shared" si="175"/>
        <v>5.0399736423800627E-2</v>
      </c>
      <c r="AD271" s="748">
        <f>AC271*D268*V271</f>
        <v>0</v>
      </c>
      <c r="AE271" s="720"/>
      <c r="AF271" s="733"/>
      <c r="AG271" s="733"/>
      <c r="AH271" s="738">
        <f>AD271</f>
        <v>0</v>
      </c>
      <c r="AI271" s="721"/>
      <c r="AJ271" s="721"/>
      <c r="AK271" s="721"/>
      <c r="AL271" s="721"/>
      <c r="AM271" s="721"/>
      <c r="AN271" s="721"/>
      <c r="AO271" s="721"/>
      <c r="AP271" s="721"/>
      <c r="AQ271" s="721"/>
      <c r="AR271" s="649"/>
      <c r="AU271" s="70"/>
      <c r="AV271" s="70"/>
      <c r="AW271" s="70"/>
      <c r="AX271" s="70"/>
      <c r="AY271" s="70"/>
      <c r="AZ271" s="894"/>
      <c r="BA271" s="894"/>
    </row>
    <row r="272" spans="3:53" ht="15.75" x14ac:dyDescent="0.25">
      <c r="C272" s="576"/>
      <c r="D272" s="705"/>
      <c r="E272" s="456"/>
      <c r="F272" s="440"/>
      <c r="G272" s="404"/>
      <c r="H272" s="830"/>
      <c r="I272" s="705"/>
      <c r="J272" s="458"/>
      <c r="K272" s="554"/>
      <c r="L272" s="439"/>
      <c r="M272" s="705"/>
      <c r="N272" s="785"/>
      <c r="O272" s="458"/>
      <c r="P272" s="705"/>
      <c r="Q272" s="443"/>
      <c r="R272" s="705"/>
      <c r="S272" s="458"/>
      <c r="T272" s="527"/>
      <c r="U272" s="1549" t="str">
        <f t="shared" si="173"/>
        <v>No shift in technology</v>
      </c>
      <c r="V272" s="459">
        <f>1-SUM(V269:V271)</f>
        <v>1</v>
      </c>
      <c r="W272" s="692">
        <f>AB272*78</f>
        <v>206386.92065546356</v>
      </c>
      <c r="X272" s="408"/>
      <c r="Y272" s="408"/>
      <c r="Z272" s="454"/>
      <c r="AA272" s="454"/>
      <c r="AB272" s="416">
        <f>((I268*L268)+(I272*L272))/SUM(I268+I272)</f>
        <v>2645.9861622495328</v>
      </c>
      <c r="AC272" s="411">
        <f>((K268*D268)+(K272*D272))/SUM(D268,D272)</f>
        <v>5.0399736423800627E-2</v>
      </c>
      <c r="AD272" s="747">
        <f>(V272*D268*AC272)</f>
        <v>3776.7243086831509</v>
      </c>
      <c r="AE272" s="734"/>
      <c r="AF272" s="907">
        <f>AD272</f>
        <v>3776.7243086831509</v>
      </c>
      <c r="AG272" s="730"/>
      <c r="AH272" s="730"/>
      <c r="AI272" s="730"/>
      <c r="AJ272" s="730"/>
      <c r="AK272" s="730"/>
      <c r="AL272" s="730"/>
      <c r="AM272" s="730"/>
      <c r="AN272" s="730"/>
      <c r="AO272" s="730"/>
      <c r="AP272" s="730"/>
      <c r="AQ272" s="731"/>
      <c r="AR272" s="709"/>
      <c r="AU272" s="70"/>
      <c r="AV272" s="70"/>
      <c r="AW272" s="70"/>
      <c r="AX272" s="70"/>
      <c r="AY272" s="70"/>
      <c r="AZ272" s="70"/>
      <c r="BA272" s="70"/>
    </row>
    <row r="273" spans="2:53" ht="33.75" customHeight="1" thickBot="1" x14ac:dyDescent="0.3">
      <c r="C273" s="567" t="str">
        <f t="shared" ref="C273:C279" si="176">C133</f>
        <v>Other</v>
      </c>
      <c r="D273" s="701"/>
      <c r="E273" s="1935" t="s">
        <v>313</v>
      </c>
      <c r="F273" s="1936"/>
      <c r="G273" s="1937"/>
      <c r="H273" s="829"/>
      <c r="I273" s="529" t="s">
        <v>213</v>
      </c>
      <c r="J273" s="366"/>
      <c r="K273" s="512" t="s">
        <v>114</v>
      </c>
      <c r="L273" s="55" t="s">
        <v>114</v>
      </c>
      <c r="M273" s="529">
        <f>SUM(M274:M279)</f>
        <v>25137.44257203945</v>
      </c>
      <c r="N273" s="353">
        <f>M273/M281</f>
        <v>0.20576893642099628</v>
      </c>
      <c r="O273" s="683" t="s">
        <v>60</v>
      </c>
      <c r="P273" s="757">
        <f>SUM(P274:P279)</f>
        <v>25137.44257203945</v>
      </c>
      <c r="Q273" s="809" t="s">
        <v>114</v>
      </c>
      <c r="R273" s="757" t="s">
        <v>114</v>
      </c>
      <c r="S273" s="795" t="s">
        <v>114</v>
      </c>
      <c r="T273" s="684"/>
      <c r="U273" s="1550" t="str">
        <f t="shared" si="173"/>
        <v>Sum</v>
      </c>
      <c r="V273" s="1570" t="s">
        <v>124</v>
      </c>
      <c r="W273" s="538"/>
      <c r="X273" s="369"/>
      <c r="Y273" s="369"/>
      <c r="Z273" s="613"/>
      <c r="AA273" s="613"/>
      <c r="AB273" s="844" t="s">
        <v>125</v>
      </c>
      <c r="AC273" s="845" t="s">
        <v>128</v>
      </c>
      <c r="AD273" s="748">
        <f>SUM(AD274:AD280)</f>
        <v>25137.44257203945</v>
      </c>
      <c r="AE273" s="720"/>
      <c r="AF273" s="721"/>
      <c r="AG273" s="721"/>
      <c r="AH273" s="721"/>
      <c r="AI273" s="721"/>
      <c r="AJ273" s="721"/>
      <c r="AK273" s="721"/>
      <c r="AL273" s="721"/>
      <c r="AM273" s="721"/>
      <c r="AN273" s="721"/>
      <c r="AO273" s="721"/>
      <c r="AP273" s="721"/>
      <c r="AQ273" s="721"/>
      <c r="AR273" s="654"/>
      <c r="AU273" s="70"/>
      <c r="AV273" s="70"/>
      <c r="AW273" s="70"/>
      <c r="AX273" s="70"/>
      <c r="AY273" s="70"/>
      <c r="AZ273" s="70"/>
      <c r="BA273" s="70"/>
    </row>
    <row r="274" spans="2:53" ht="15.75" x14ac:dyDescent="0.25">
      <c r="C274" s="569" t="str">
        <f t="shared" si="176"/>
        <v>Military transport road</v>
      </c>
      <c r="D274" s="701"/>
      <c r="E274" s="1896" t="str">
        <f t="shared" ref="E274:E279" si="177">F134</f>
        <v>Diesel (military)</v>
      </c>
      <c r="F274" s="1897"/>
      <c r="G274" s="449">
        <v>0</v>
      </c>
      <c r="H274" s="829"/>
      <c r="I274" s="704">
        <f t="shared" ref="I274:I279" si="178">(1+G274)^$AV$4-1</f>
        <v>0</v>
      </c>
      <c r="J274" s="366"/>
      <c r="K274" s="553"/>
      <c r="L274" s="432"/>
      <c r="M274" s="532">
        <f t="shared" ref="M274:M279" si="179">M134*$AV$11</f>
        <v>1006.5772494847992</v>
      </c>
      <c r="N274" s="367">
        <f>M274/M281</f>
        <v>8.2395943604240216E-3</v>
      </c>
      <c r="O274" s="450" t="s">
        <v>113</v>
      </c>
      <c r="P274" s="532">
        <f t="shared" ref="P274:P279" si="180">P134*$AV$11*(1-I274)</f>
        <v>1006.5772494847992</v>
      </c>
      <c r="Q274" s="436"/>
      <c r="R274" s="532"/>
      <c r="S274" s="367"/>
      <c r="T274" s="525"/>
      <c r="U274" s="1548" t="str">
        <f t="shared" si="173"/>
        <v>Bio-methanol [fishery/gardening/forestry]</v>
      </c>
      <c r="V274" s="346"/>
      <c r="W274" s="517"/>
      <c r="X274" s="369"/>
      <c r="Y274" s="369"/>
      <c r="AB274" s="463">
        <f>AB134</f>
        <v>0</v>
      </c>
      <c r="AC274" s="464" t="s">
        <v>127</v>
      </c>
      <c r="AD274" s="748">
        <f>AB274*(P277+P278)</f>
        <v>0</v>
      </c>
      <c r="AE274" s="720"/>
      <c r="AF274" s="721"/>
      <c r="AG274" s="721"/>
      <c r="AH274" s="721"/>
      <c r="AI274" s="722">
        <f>AD274</f>
        <v>0</v>
      </c>
      <c r="AJ274" s="721"/>
      <c r="AK274" s="721"/>
      <c r="AL274" s="721"/>
      <c r="AM274" s="721"/>
      <c r="AN274" s="721"/>
      <c r="AO274" s="721"/>
      <c r="AP274" s="721"/>
      <c r="AQ274" s="721"/>
      <c r="AR274" s="649"/>
      <c r="AU274" s="70"/>
      <c r="AV274" s="70"/>
      <c r="AW274" s="70"/>
      <c r="AX274" s="70"/>
      <c r="AY274" s="70"/>
      <c r="AZ274" s="70"/>
      <c r="BA274" s="70"/>
    </row>
    <row r="275" spans="2:53" ht="15.75" x14ac:dyDescent="0.25">
      <c r="C275" s="569" t="str">
        <f t="shared" si="176"/>
        <v>Military transport aviation</v>
      </c>
      <c r="D275" s="701"/>
      <c r="E275" s="1896" t="str">
        <f t="shared" si="177"/>
        <v>JP1 (military)</v>
      </c>
      <c r="F275" s="1897"/>
      <c r="G275" s="465">
        <v>0</v>
      </c>
      <c r="H275" s="829"/>
      <c r="I275" s="704">
        <f t="shared" si="178"/>
        <v>0</v>
      </c>
      <c r="J275" s="366"/>
      <c r="K275" s="553"/>
      <c r="L275" s="432"/>
      <c r="M275" s="532">
        <f t="shared" si="179"/>
        <v>975.82825893449979</v>
      </c>
      <c r="N275" s="367">
        <f>M275/M281</f>
        <v>7.9878906692700084E-3</v>
      </c>
      <c r="O275" s="450" t="s">
        <v>112</v>
      </c>
      <c r="P275" s="532">
        <f t="shared" si="180"/>
        <v>975.82825893449979</v>
      </c>
      <c r="Q275" s="417"/>
      <c r="R275" s="532"/>
      <c r="S275" s="366"/>
      <c r="T275" s="524"/>
      <c r="U275" s="477" t="str">
        <f t="shared" si="173"/>
        <v>Plug-in hybrid vehicle Bio-methanol (EV %of drive train) [all road/agriculture]</v>
      </c>
      <c r="V275" s="346" t="s">
        <v>126</v>
      </c>
      <c r="W275" s="517"/>
      <c r="X275" s="369"/>
      <c r="Y275" s="369"/>
      <c r="Z275" s="466">
        <v>0.25</v>
      </c>
      <c r="AB275" s="463">
        <f>AB135</f>
        <v>0</v>
      </c>
      <c r="AC275" s="464" t="s">
        <v>127</v>
      </c>
      <c r="AD275" s="748">
        <f>AB275*(P274+P276+P279)</f>
        <v>0</v>
      </c>
      <c r="AE275" s="720"/>
      <c r="AF275" s="721"/>
      <c r="AG275" s="721"/>
      <c r="AH275" s="721"/>
      <c r="AI275" s="722">
        <f>AD275*(1-Z275)</f>
        <v>0</v>
      </c>
      <c r="AJ275" s="721"/>
      <c r="AK275" s="721"/>
      <c r="AL275" s="721"/>
      <c r="AM275" s="721"/>
      <c r="AN275" s="721"/>
      <c r="AO275" s="722">
        <f>AD275*Z275</f>
        <v>0</v>
      </c>
      <c r="AP275" s="721"/>
      <c r="AQ275" s="721"/>
      <c r="AR275" s="649"/>
      <c r="AU275" s="70"/>
      <c r="AV275" s="70"/>
      <c r="AW275" s="70"/>
      <c r="AX275" s="70"/>
      <c r="AY275" s="70"/>
      <c r="AZ275" s="70"/>
      <c r="BA275" s="70"/>
    </row>
    <row r="276" spans="2:53" ht="15.75" x14ac:dyDescent="0.25">
      <c r="C276" s="569" t="str">
        <f t="shared" si="176"/>
        <v>Agriculture</v>
      </c>
      <c r="D276" s="701"/>
      <c r="E276" s="1896" t="str">
        <f t="shared" si="177"/>
        <v>Diesel (Agr.)</v>
      </c>
      <c r="F276" s="1897"/>
      <c r="G276" s="465">
        <v>0</v>
      </c>
      <c r="H276" s="829"/>
      <c r="I276" s="704">
        <f t="shared" si="178"/>
        <v>0</v>
      </c>
      <c r="J276" s="366"/>
      <c r="K276" s="553"/>
      <c r="L276" s="432"/>
      <c r="M276" s="532">
        <f t="shared" si="179"/>
        <v>13330.591785629775</v>
      </c>
      <c r="N276" s="367">
        <f>M276/M281</f>
        <v>0.10912095316500456</v>
      </c>
      <c r="O276" s="346" t="s">
        <v>120</v>
      </c>
      <c r="P276" s="532">
        <f t="shared" si="180"/>
        <v>13330.591785629775</v>
      </c>
      <c r="Q276" s="417"/>
      <c r="R276" s="532"/>
      <c r="S276" s="366"/>
      <c r="T276" s="524"/>
      <c r="U276" s="1546" t="str">
        <f t="shared" si="173"/>
        <v>Gas-turbines Bio-jetfuel [aviation]</v>
      </c>
      <c r="V276" s="346"/>
      <c r="W276" s="517"/>
      <c r="X276" s="369"/>
      <c r="Y276" s="369"/>
      <c r="AB276" s="463">
        <f>AB136</f>
        <v>0</v>
      </c>
      <c r="AC276" s="464" t="s">
        <v>127</v>
      </c>
      <c r="AD276" s="748">
        <f>AB276*P275</f>
        <v>0</v>
      </c>
      <c r="AE276" s="720"/>
      <c r="AF276" s="721"/>
      <c r="AG276" s="721"/>
      <c r="AH276" s="721"/>
      <c r="AI276" s="721"/>
      <c r="AJ276" s="721"/>
      <c r="AK276" s="721"/>
      <c r="AL276" s="721"/>
      <c r="AM276" s="722">
        <f>AD276</f>
        <v>0</v>
      </c>
      <c r="AN276" s="721"/>
      <c r="AO276" s="721"/>
      <c r="AP276" s="721"/>
      <c r="AQ276" s="721"/>
      <c r="AR276" s="649"/>
      <c r="AU276" s="70"/>
      <c r="AV276" s="70"/>
      <c r="AW276" s="70"/>
      <c r="AX276" s="70"/>
      <c r="AY276" s="70"/>
      <c r="AZ276" s="70"/>
      <c r="BA276" s="70"/>
    </row>
    <row r="277" spans="2:53" ht="15.75" x14ac:dyDescent="0.25">
      <c r="C277" s="569" t="str">
        <f t="shared" si="176"/>
        <v>Fishery</v>
      </c>
      <c r="D277" s="701"/>
      <c r="E277" s="1896" t="str">
        <f t="shared" si="177"/>
        <v>Diesel (Fishery)</v>
      </c>
      <c r="F277" s="1897"/>
      <c r="G277" s="465">
        <v>0</v>
      </c>
      <c r="H277" s="829"/>
      <c r="I277" s="704">
        <f t="shared" si="178"/>
        <v>0</v>
      </c>
      <c r="J277" s="366"/>
      <c r="K277" s="553"/>
      <c r="L277" s="432"/>
      <c r="M277" s="532">
        <f t="shared" si="179"/>
        <v>7018.0049020683209</v>
      </c>
      <c r="N277" s="367">
        <f>M277/M281</f>
        <v>5.7447665981033603E-2</v>
      </c>
      <c r="O277" s="346" t="s">
        <v>121</v>
      </c>
      <c r="P277" s="532">
        <f t="shared" si="180"/>
        <v>7018.0049020683209</v>
      </c>
      <c r="Q277" s="417"/>
      <c r="R277" s="532"/>
      <c r="S277" s="366"/>
      <c r="T277" s="524"/>
      <c r="U277" s="1546" t="str">
        <f t="shared" si="173"/>
        <v>Syn-methanol [fishery/ gardening/forestry]</v>
      </c>
      <c r="V277" s="346"/>
      <c r="W277" s="517"/>
      <c r="X277" s="369"/>
      <c r="Y277" s="369"/>
      <c r="AB277" s="467" t="s">
        <v>127</v>
      </c>
      <c r="AC277" s="1580">
        <f>AC137</f>
        <v>0</v>
      </c>
      <c r="AD277" s="748">
        <f>AC277*(P277+P278)</f>
        <v>0</v>
      </c>
      <c r="AE277" s="720"/>
      <c r="AF277" s="721"/>
      <c r="AG277" s="721"/>
      <c r="AH277" s="722">
        <f>AD277</f>
        <v>0</v>
      </c>
      <c r="AI277" s="721"/>
      <c r="AJ277" s="721"/>
      <c r="AK277" s="721"/>
      <c r="AL277" s="721"/>
      <c r="AM277" s="721"/>
      <c r="AN277" s="721"/>
      <c r="AO277" s="721"/>
      <c r="AP277" s="721"/>
      <c r="AQ277" s="721"/>
      <c r="AR277" s="649"/>
      <c r="AU277" s="70"/>
      <c r="AV277" s="70"/>
      <c r="AW277" s="70"/>
      <c r="AX277" s="70"/>
      <c r="AY277" s="70"/>
      <c r="AZ277" s="70"/>
      <c r="BA277" s="70"/>
    </row>
    <row r="278" spans="2:53" ht="15.75" x14ac:dyDescent="0.25">
      <c r="C278" s="569" t="str">
        <f t="shared" si="176"/>
        <v>Gardening and forestry</v>
      </c>
      <c r="D278" s="701"/>
      <c r="E278" s="1896" t="str">
        <f t="shared" si="177"/>
        <v>Diesel (garden/forest)</v>
      </c>
      <c r="F278" s="1897"/>
      <c r="G278" s="465">
        <v>0</v>
      </c>
      <c r="H278" s="829"/>
      <c r="I278" s="704">
        <f t="shared" si="178"/>
        <v>0</v>
      </c>
      <c r="J278" s="366"/>
      <c r="K278" s="553"/>
      <c r="L278" s="432"/>
      <c r="M278" s="532">
        <f t="shared" si="179"/>
        <v>467.74006265367603</v>
      </c>
      <c r="N278" s="367">
        <f>M278/M281</f>
        <v>3.8288053742106839E-3</v>
      </c>
      <c r="O278" s="346" t="s">
        <v>122</v>
      </c>
      <c r="P278" s="532">
        <f t="shared" si="180"/>
        <v>467.74006265367603</v>
      </c>
      <c r="Q278" s="417"/>
      <c r="R278" s="532"/>
      <c r="S278" s="366"/>
      <c r="T278" s="524"/>
      <c r="U278" s="1546" t="str">
        <f t="shared" si="173"/>
        <v>Hybrid Syn-methanol (EV % of drive train) [all road/agriculture]</v>
      </c>
      <c r="V278" s="346" t="s">
        <v>126</v>
      </c>
      <c r="W278" s="517"/>
      <c r="X278" s="369"/>
      <c r="Y278" s="369"/>
      <c r="Z278" s="466">
        <v>0.25</v>
      </c>
      <c r="AB278" s="467" t="s">
        <v>127</v>
      </c>
      <c r="AC278" s="1580">
        <f>AC138</f>
        <v>0</v>
      </c>
      <c r="AD278" s="748">
        <f>AC278*(P274+P276+P279)</f>
        <v>0</v>
      </c>
      <c r="AE278" s="720"/>
      <c r="AF278" s="721"/>
      <c r="AG278" s="721"/>
      <c r="AH278" s="722">
        <f>AD278*(1-Z278)</f>
        <v>0</v>
      </c>
      <c r="AI278" s="721"/>
      <c r="AJ278" s="721"/>
      <c r="AK278" s="721"/>
      <c r="AL278" s="721"/>
      <c r="AM278" s="721"/>
      <c r="AN278" s="721"/>
      <c r="AO278" s="722">
        <f>AD278*Z278</f>
        <v>0</v>
      </c>
      <c r="AP278" s="721"/>
      <c r="AQ278" s="721"/>
      <c r="AR278" s="649"/>
      <c r="AU278" s="70"/>
      <c r="AV278" s="70"/>
      <c r="AW278" s="70"/>
      <c r="AX278" s="70"/>
      <c r="AY278" s="70"/>
      <c r="AZ278" s="70"/>
      <c r="BA278" s="70"/>
    </row>
    <row r="279" spans="2:53" ht="16.5" thickBot="1" x14ac:dyDescent="0.3">
      <c r="C279" s="569" t="str">
        <f t="shared" si="176"/>
        <v>Agricultural contractor</v>
      </c>
      <c r="D279" s="701"/>
      <c r="E279" s="1896" t="str">
        <f t="shared" si="177"/>
        <v>Diesel (Agr. contr.)</v>
      </c>
      <c r="F279" s="1897"/>
      <c r="G279" s="451">
        <v>0</v>
      </c>
      <c r="H279" s="829"/>
      <c r="I279" s="704">
        <f t="shared" si="178"/>
        <v>0</v>
      </c>
      <c r="J279" s="366"/>
      <c r="K279" s="553"/>
      <c r="L279" s="432"/>
      <c r="M279" s="532">
        <f t="shared" si="179"/>
        <v>2338.7003132683799</v>
      </c>
      <c r="N279" s="367">
        <f>M279/M281</f>
        <v>1.9144026871053418E-2</v>
      </c>
      <c r="O279" s="346" t="s">
        <v>123</v>
      </c>
      <c r="P279" s="532">
        <f t="shared" si="180"/>
        <v>2338.7003132683799</v>
      </c>
      <c r="Q279" s="417"/>
      <c r="R279" s="532"/>
      <c r="S279" s="366"/>
      <c r="T279" s="524"/>
      <c r="U279" s="1546" t="str">
        <f t="shared" si="173"/>
        <v>Syn-jetfuel [aviation]</v>
      </c>
      <c r="V279" s="346"/>
      <c r="W279" s="517"/>
      <c r="X279" s="369"/>
      <c r="Y279" s="369"/>
      <c r="AA279" s="416"/>
      <c r="AB279" s="469" t="s">
        <v>127</v>
      </c>
      <c r="AC279" s="1581">
        <f>AC139</f>
        <v>0</v>
      </c>
      <c r="AD279" s="748">
        <f>AC279*P275</f>
        <v>0</v>
      </c>
      <c r="AE279" s="720"/>
      <c r="AF279" s="721"/>
      <c r="AG279" s="721"/>
      <c r="AH279" s="721"/>
      <c r="AI279" s="721"/>
      <c r="AJ279" s="721"/>
      <c r="AK279" s="721"/>
      <c r="AL279" s="721"/>
      <c r="AM279" s="721"/>
      <c r="AN279" s="721"/>
      <c r="AO279" s="721"/>
      <c r="AP279" s="721"/>
      <c r="AQ279" s="722">
        <f>AD279</f>
        <v>0</v>
      </c>
      <c r="AR279" s="649"/>
      <c r="AU279" s="70"/>
      <c r="AV279" s="70"/>
      <c r="AW279" s="70"/>
      <c r="AX279" s="70"/>
      <c r="AY279" s="70"/>
      <c r="AZ279" s="70"/>
      <c r="BA279" s="70"/>
    </row>
    <row r="280" spans="2:53" ht="16.5" thickBot="1" x14ac:dyDescent="0.3">
      <c r="C280" s="573"/>
      <c r="D280" s="841"/>
      <c r="E280" s="842"/>
      <c r="F280" s="460"/>
      <c r="G280" s="843"/>
      <c r="H280" s="832"/>
      <c r="I280" s="706"/>
      <c r="J280" s="813"/>
      <c r="K280" s="553"/>
      <c r="L280" s="432"/>
      <c r="M280" s="532"/>
      <c r="N280" s="367"/>
      <c r="Q280" s="417"/>
      <c r="R280" s="532"/>
      <c r="S280" s="366"/>
      <c r="T280" s="525"/>
      <c r="U280" s="1549" t="str">
        <f t="shared" si="173"/>
        <v>No shift in technology</v>
      </c>
      <c r="V280" s="381"/>
      <c r="W280" s="538"/>
      <c r="X280" s="369"/>
      <c r="Y280" s="369"/>
      <c r="Z280" s="613"/>
      <c r="AA280" s="381"/>
      <c r="AB280" s="416"/>
      <c r="AC280" s="411"/>
      <c r="AD280" s="748">
        <f>P273-SUM(AD274:AD279)</f>
        <v>25137.44257203945</v>
      </c>
      <c r="AE280" s="720"/>
      <c r="AF280" s="722">
        <f>(P274+P276+P277+P278+P279)-(AD274+AD275+AD277+AD278)</f>
        <v>24161.61431310495</v>
      </c>
      <c r="AG280" s="722">
        <f>P275-AD276-AD279</f>
        <v>975.82825893449979</v>
      </c>
      <c r="AH280" s="721"/>
      <c r="AI280" s="721"/>
      <c r="AJ280" s="721"/>
      <c r="AK280" s="721"/>
      <c r="AL280" s="721"/>
      <c r="AM280" s="721"/>
      <c r="AN280" s="721"/>
      <c r="AO280" s="721"/>
      <c r="AP280" s="721"/>
      <c r="AQ280" s="721"/>
      <c r="AR280" s="654"/>
      <c r="AU280" s="70"/>
      <c r="AV280" s="70"/>
      <c r="AW280" s="70"/>
      <c r="AX280" s="70"/>
      <c r="AY280" s="70"/>
      <c r="AZ280" s="70"/>
      <c r="BA280" s="70"/>
    </row>
    <row r="281" spans="2:53" ht="16.5" thickBot="1" x14ac:dyDescent="0.3">
      <c r="C281" s="577" t="str">
        <f>C141</f>
        <v>Total</v>
      </c>
      <c r="D281" s="838">
        <f>SUM(D201+D213+D225+D243+D249+D255+D259+D263+D268)</f>
        <v>106875.47855776828</v>
      </c>
      <c r="E281" s="837">
        <f>SUM(E268+E263+E259+E255+E249+E243+E225+E213+E201)</f>
        <v>0.99999999999999989</v>
      </c>
      <c r="F281" s="835"/>
      <c r="G281" s="835"/>
      <c r="H281" s="839"/>
      <c r="I281" s="838">
        <f>SUM(I201+I213+I225+I243+I249+I255+I259+I263+I268)</f>
        <v>12687.020270275836</v>
      </c>
      <c r="J281" s="840">
        <f>J268+J263+J259+J255+J249+J243+J225+J213+J201</f>
        <v>0.99999999999999989</v>
      </c>
      <c r="K281" s="429"/>
      <c r="L281" s="427"/>
      <c r="M281" s="696">
        <f>SUM(M201,M213,M225,M243+M249,M255:M259,M263:M268,M274,M275,M277,M276,M278,M279)</f>
        <v>122163.44706476537</v>
      </c>
      <c r="N281" s="428">
        <f>N268+N263+N259+N255+N249+N243+N225+N213+N201+N274+N275+N276+N277+N278+N279</f>
        <v>1</v>
      </c>
      <c r="O281" s="471"/>
      <c r="P281" s="696">
        <f>SUM(P201+P213+P225+P244+P245+P250+P251+P256+P260+P264+P269+P273)</f>
        <v>122163.44706476537</v>
      </c>
      <c r="Q281" s="802"/>
      <c r="R281" s="696">
        <f>SUM(R201+R213+R225+R244+R245+R250+R251+R256+R260+R264+R269)</f>
        <v>106875.47855776828</v>
      </c>
      <c r="S281" s="800"/>
      <c r="T281" s="528"/>
      <c r="U281" s="1551"/>
      <c r="V281" s="472"/>
      <c r="W281" s="775"/>
      <c r="X281" s="471"/>
      <c r="Y281" s="471"/>
      <c r="Z281" s="471"/>
      <c r="AA281" s="471"/>
      <c r="AB281" s="471"/>
      <c r="AC281" s="471"/>
      <c r="AD281" s="710">
        <f>AD268+AD263+AD259+AD255+AD249+AD243+AD225+AD213+AD201+AD273</f>
        <v>122163.44706476538</v>
      </c>
      <c r="AE281" s="846">
        <f t="shared" ref="AE281:AQ281" si="181">SUM(AE202:AE280)</f>
        <v>1298.7631807718619</v>
      </c>
      <c r="AF281" s="847">
        <f t="shared" si="181"/>
        <v>107506.11255614</v>
      </c>
      <c r="AG281" s="847">
        <f t="shared" si="181"/>
        <v>8269.476283723985</v>
      </c>
      <c r="AH281" s="847">
        <f t="shared" si="181"/>
        <v>0</v>
      </c>
      <c r="AI281" s="847">
        <f t="shared" si="181"/>
        <v>0</v>
      </c>
      <c r="AJ281" s="847">
        <f t="shared" si="181"/>
        <v>1252.7504674913846</v>
      </c>
      <c r="AK281" s="847">
        <f t="shared" si="181"/>
        <v>3651.1121371517393</v>
      </c>
      <c r="AL281" s="847">
        <f t="shared" si="181"/>
        <v>0</v>
      </c>
      <c r="AM281" s="847">
        <f t="shared" si="181"/>
        <v>0</v>
      </c>
      <c r="AN281" s="847">
        <f t="shared" si="181"/>
        <v>0</v>
      </c>
      <c r="AO281" s="847">
        <f t="shared" si="181"/>
        <v>0</v>
      </c>
      <c r="AP281" s="847">
        <f t="shared" si="181"/>
        <v>185.2324394863997</v>
      </c>
      <c r="AQ281" s="848">
        <f t="shared" si="181"/>
        <v>0</v>
      </c>
      <c r="AR281" s="745"/>
      <c r="AU281" s="70"/>
      <c r="AV281" s="70"/>
      <c r="AW281" s="70"/>
      <c r="AX281" s="70"/>
      <c r="AY281" s="70"/>
      <c r="AZ281" s="70"/>
      <c r="BA281" s="70"/>
    </row>
    <row r="282" spans="2:53" ht="15.75" customHeight="1" thickBot="1" x14ac:dyDescent="0.3">
      <c r="C282" s="5"/>
      <c r="V282" s="346"/>
      <c r="AU282" s="327"/>
      <c r="AV282" s="327"/>
      <c r="AW282" s="327"/>
      <c r="AX282" s="327"/>
      <c r="AY282" s="327"/>
      <c r="AZ282" s="70"/>
      <c r="BA282" s="70"/>
    </row>
    <row r="283" spans="2:53" ht="15.75" customHeight="1" thickBot="1" x14ac:dyDescent="0.3">
      <c r="C283" s="5"/>
      <c r="D283" s="1907" t="str">
        <f>$D$3</f>
        <v>Transport demand by mode of transport</v>
      </c>
      <c r="E283" s="1908"/>
      <c r="F283" s="1908"/>
      <c r="G283" s="1908"/>
      <c r="H283" s="1908"/>
      <c r="I283" s="1908"/>
      <c r="J283" s="1909"/>
      <c r="K283" s="1907" t="str">
        <f>$K$3</f>
        <v>Transport-energy demand by mode of tranport</v>
      </c>
      <c r="L283" s="1908"/>
      <c r="M283" s="1908"/>
      <c r="N283" s="1908"/>
      <c r="O283" s="1907" t="str">
        <f>$O$3</f>
        <v>Transport and transport-energy demand by fuel</v>
      </c>
      <c r="P283" s="1908"/>
      <c r="Q283" s="1908"/>
      <c r="R283" s="1908"/>
      <c r="S283" s="1909"/>
      <c r="U283" s="849" t="str">
        <f>$U$3</f>
        <v>Implementation of potential technologies</v>
      </c>
      <c r="V283" s="850"/>
      <c r="W283" s="850"/>
      <c r="X283" s="850"/>
      <c r="Y283" s="850"/>
      <c r="Z283" s="850"/>
      <c r="AA283" s="850"/>
      <c r="AB283" s="850"/>
      <c r="AC283" s="850"/>
      <c r="AD283" s="851"/>
      <c r="AE283" s="1901" t="str">
        <f>$AE$3</f>
        <v>Fuel consumpiton after the new technologies are implemented</v>
      </c>
      <c r="AF283" s="1902"/>
      <c r="AG283" s="1902"/>
      <c r="AH283" s="1902"/>
      <c r="AI283" s="1902"/>
      <c r="AJ283" s="1902"/>
      <c r="AK283" s="1902"/>
      <c r="AL283" s="1902"/>
      <c r="AM283" s="1902"/>
      <c r="AN283" s="1902"/>
      <c r="AO283" s="1902"/>
      <c r="AP283" s="1902"/>
      <c r="AQ283" s="1903"/>
      <c r="AU283" s="70"/>
      <c r="AV283" s="70"/>
      <c r="AW283" s="70"/>
      <c r="AX283" s="70"/>
      <c r="AY283" s="70"/>
      <c r="AZ283" s="327"/>
      <c r="BA283" s="327"/>
    </row>
    <row r="284" spans="2:53" ht="57" thickBot="1" x14ac:dyDescent="0.3">
      <c r="C284" s="1933" t="str">
        <f>C144</f>
        <v>Passenger transport</v>
      </c>
      <c r="D284" s="1904" t="str">
        <f>$D$4</f>
        <v>Transport demand</v>
      </c>
      <c r="E284" s="1905"/>
      <c r="F284" s="326" t="str">
        <f>$F$4</f>
        <v>Capacity</v>
      </c>
      <c r="G284" s="1916" t="str">
        <f>$G$4</f>
        <v>Load factor</v>
      </c>
      <c r="H284" s="1916"/>
      <c r="I284" s="1916" t="str">
        <f>$I$4</f>
        <v>Traffic work</v>
      </c>
      <c r="J284" s="1916"/>
      <c r="K284" s="1928" t="s">
        <v>36</v>
      </c>
      <c r="L284" s="1927"/>
      <c r="M284" s="1916" t="str">
        <f>$M$4</f>
        <v>Energy demand</v>
      </c>
      <c r="N284" s="1920"/>
      <c r="O284" s="1904" t="str">
        <f>$O$4</f>
        <v>Total fuel consumption</v>
      </c>
      <c r="P284" s="1905"/>
      <c r="Q284" s="1905"/>
      <c r="R284" s="1905" t="str">
        <f>$R$4</f>
        <v>Transport demand</v>
      </c>
      <c r="S284" s="1906"/>
      <c r="T284" s="518" t="str">
        <f>$T$4</f>
        <v>No of vehicles</v>
      </c>
      <c r="U284" s="328" t="str">
        <f>$U$4</f>
        <v>Type of technology</v>
      </c>
      <c r="V284" s="927" t="str">
        <f>$V$4</f>
        <v>Share</v>
      </c>
      <c r="W284" s="712" t="str">
        <f>$W$4</f>
        <v>CO2-emissions</v>
      </c>
      <c r="X284" s="328" t="str">
        <f>$X$4</f>
        <v>Specific energy consumption to move the vehicle</v>
      </c>
      <c r="Y284" s="328" t="str">
        <f>$Y$4</f>
        <v>Engine efficiency</v>
      </c>
      <c r="Z284" s="1905" t="str">
        <f>$Z$4</f>
        <v xml:space="preserve">Specific energy consumption </v>
      </c>
      <c r="AA284" s="1905"/>
      <c r="AB284" s="1905"/>
      <c r="AC284" s="328" t="str">
        <f>$AC$4</f>
        <v>Utilization efficiency</v>
      </c>
      <c r="AD284" s="712" t="str">
        <f>$AD$4</f>
        <v>Energy demand</v>
      </c>
      <c r="AE284" s="711" t="str">
        <f>$AE$4</f>
        <v>Petrol</v>
      </c>
      <c r="AF284" s="712" t="str">
        <f>$AF$4</f>
        <v>Diesel</v>
      </c>
      <c r="AG284" s="712" t="str">
        <f>$AG$4</f>
        <v xml:space="preserve">Jet fuel </v>
      </c>
      <c r="AH284" s="712" t="str">
        <f>$AH$4</f>
        <v>Syn-methanol</v>
      </c>
      <c r="AI284" s="712" t="str">
        <f>$AI$4</f>
        <v>Bio-methanol</v>
      </c>
      <c r="AJ284" s="712" t="str">
        <f>$AJ$4</f>
        <v>Bioethanol</v>
      </c>
      <c r="AK284" s="712" t="str">
        <f>$AK$4</f>
        <v>Biodiesel</v>
      </c>
      <c r="AL284" s="712" t="str">
        <f>$AL$4</f>
        <v>Biogas</v>
      </c>
      <c r="AM284" s="712" t="str">
        <f>$AM$4</f>
        <v>Bio-jetfuel</v>
      </c>
      <c r="AN284" s="712" t="str">
        <f>$AN$4</f>
        <v>Electricity BEV</v>
      </c>
      <c r="AO284" s="712" t="str">
        <f>$AO$4</f>
        <v>Electricity Plug-in-hybrid</v>
      </c>
      <c r="AP284" s="712" t="str">
        <f>$AP$4</f>
        <v>Electricity Train / bus</v>
      </c>
      <c r="AQ284" s="656" t="str">
        <f>$AQ$4</f>
        <v>Syn-jetfuel</v>
      </c>
      <c r="AR284" s="518" t="str">
        <f>$AR$4</f>
        <v>No of vehicles</v>
      </c>
      <c r="AU284" s="70"/>
      <c r="AV284" s="70"/>
      <c r="AW284" s="70"/>
      <c r="AX284" s="70"/>
      <c r="AY284" s="70"/>
      <c r="AZ284" s="70"/>
      <c r="BA284" s="70"/>
    </row>
    <row r="285" spans="2:53" ht="16.5" customHeight="1" thickBot="1" x14ac:dyDescent="0.3">
      <c r="B285" s="1944">
        <v>2030</v>
      </c>
      <c r="C285" s="1934"/>
      <c r="D285" s="690" t="str">
        <f>D$5</f>
        <v>Mpkm</v>
      </c>
      <c r="E285" s="783" t="str">
        <f t="shared" ref="E285:AQ285" si="182">E$5</f>
        <v>%</v>
      </c>
      <c r="F285" s="348" t="str">
        <f t="shared" si="182"/>
        <v>p/vehicle</v>
      </c>
      <c r="G285" s="349" t="str">
        <f t="shared" si="182"/>
        <v>%</v>
      </c>
      <c r="H285" s="819" t="str">
        <f t="shared" si="182"/>
        <v>p/vehicle</v>
      </c>
      <c r="I285" s="746" t="str">
        <f t="shared" si="182"/>
        <v>Mkm</v>
      </c>
      <c r="J285" s="808" t="str">
        <f t="shared" si="182"/>
        <v>%</v>
      </c>
      <c r="K285" s="350" t="str">
        <f>K$5</f>
        <v>MJ/pkm</v>
      </c>
      <c r="L285" s="348" t="str">
        <f>L$5</f>
        <v>MJ/km</v>
      </c>
      <c r="M285" s="690" t="str">
        <f>M$5</f>
        <v>TJ</v>
      </c>
      <c r="N285" s="784" t="str">
        <f>N$5</f>
        <v>%</v>
      </c>
      <c r="O285" s="348" t="str">
        <f t="shared" si="182"/>
        <v>Fuel</v>
      </c>
      <c r="P285" s="746" t="str">
        <f t="shared" si="182"/>
        <v>TJ</v>
      </c>
      <c r="Q285" s="808" t="str">
        <f t="shared" si="182"/>
        <v>% TJ</v>
      </c>
      <c r="R285" s="746" t="str">
        <f t="shared" si="182"/>
        <v>Mpkm</v>
      </c>
      <c r="S285" s="794" t="str">
        <f t="shared" si="182"/>
        <v>%</v>
      </c>
      <c r="T285" s="519"/>
      <c r="U285" s="348"/>
      <c r="V285" s="350" t="str">
        <f>V$5</f>
        <v>% of traffic work</v>
      </c>
      <c r="W285" s="746" t="str">
        <f t="shared" si="182"/>
        <v>[g/km]</v>
      </c>
      <c r="X285" s="348" t="str">
        <f>X$5</f>
        <v>MJ_mech/km</v>
      </c>
      <c r="Y285" s="348" t="str">
        <f>Y$5</f>
        <v xml:space="preserve"> (MJ_mech/MJ)</v>
      </c>
      <c r="Z285" s="349" t="str">
        <f t="shared" si="182"/>
        <v>[km/Liter]</v>
      </c>
      <c r="AA285" s="349" t="str">
        <f t="shared" si="182"/>
        <v>[km/MJ]</v>
      </c>
      <c r="AB285" s="348" t="str">
        <f t="shared" si="182"/>
        <v>[MJ/km]</v>
      </c>
      <c r="AC285" s="349" t="str">
        <f t="shared" si="182"/>
        <v>MJ/pkm</v>
      </c>
      <c r="AD285" s="746" t="str">
        <f t="shared" si="182"/>
        <v>Total TJ</v>
      </c>
      <c r="AE285" s="713" t="str">
        <f t="shared" si="182"/>
        <v>TJ</v>
      </c>
      <c r="AF285" s="714" t="str">
        <f t="shared" si="182"/>
        <v>TJ</v>
      </c>
      <c r="AG285" s="714" t="str">
        <f t="shared" si="182"/>
        <v>TJ</v>
      </c>
      <c r="AH285" s="714" t="str">
        <f t="shared" si="182"/>
        <v>TJ</v>
      </c>
      <c r="AI285" s="714" t="s">
        <v>2</v>
      </c>
      <c r="AJ285" s="714" t="str">
        <f t="shared" si="182"/>
        <v>TJ</v>
      </c>
      <c r="AK285" s="714" t="str">
        <f t="shared" si="182"/>
        <v>TJ</v>
      </c>
      <c r="AL285" s="714" t="str">
        <f t="shared" si="182"/>
        <v>TJ</v>
      </c>
      <c r="AM285" s="714" t="str">
        <f t="shared" si="182"/>
        <v>TJ</v>
      </c>
      <c r="AN285" s="714" t="str">
        <f t="shared" si="182"/>
        <v>TJ</v>
      </c>
      <c r="AO285" s="714" t="str">
        <f t="shared" si="182"/>
        <v>TJ</v>
      </c>
      <c r="AP285" s="714" t="str">
        <f t="shared" si="182"/>
        <v>TJ</v>
      </c>
      <c r="AQ285" s="715" t="str">
        <f t="shared" si="182"/>
        <v>TJ</v>
      </c>
      <c r="AR285" s="519"/>
      <c r="AU285" s="70"/>
      <c r="AV285" s="70"/>
      <c r="AW285" s="70"/>
      <c r="AX285" s="70"/>
      <c r="AY285" s="70"/>
      <c r="AZ285" s="70"/>
      <c r="BA285" s="70"/>
    </row>
    <row r="286" spans="2:53" ht="15.75" customHeight="1" thickBot="1" x14ac:dyDescent="0.3">
      <c r="B286" s="1945"/>
      <c r="C286" s="578" t="str">
        <f t="shared" ref="C286:C297" si="183">C146</f>
        <v>Cars and vans &lt; 2 t</v>
      </c>
      <c r="D286" s="529">
        <f>D287+D292+D297</f>
        <v>79911.906492251175</v>
      </c>
      <c r="E286" s="545">
        <f t="shared" ref="E286:E297" si="184">D286/$D$336</f>
        <v>0.60118929373034991</v>
      </c>
      <c r="F286" s="1346">
        <v>4</v>
      </c>
      <c r="G286" s="1336">
        <f>H286/F286</f>
        <v>0.3743012640322616</v>
      </c>
      <c r="H286" s="1337">
        <f>((H287*I287)+(H292*I292)+(H297*I297))/(I287+I292+I297)</f>
        <v>1.4972050561290464</v>
      </c>
      <c r="I286" s="757">
        <f>SUM(I287+I292+I297)</f>
        <v>53374.055988602966</v>
      </c>
      <c r="J286" s="795">
        <f>I286/I336</f>
        <v>0.9270666994136586</v>
      </c>
      <c r="K286" s="1338">
        <f>L286/H286</f>
        <v>1.2885312769811545</v>
      </c>
      <c r="L286" s="1324">
        <f>((L287*I287)+(L292*I292)+(L297*I297))/(I287+I292+I297)</f>
        <v>1.9291955428766012</v>
      </c>
      <c r="M286" s="757">
        <f>M287+M292+M297</f>
        <v>102968.99091845901</v>
      </c>
      <c r="N286" s="353">
        <f t="shared" ref="N286:N297" si="185">M286/$M$336</f>
        <v>0.67401225429032219</v>
      </c>
      <c r="O286" s="682" t="s">
        <v>60</v>
      </c>
      <c r="P286" s="759">
        <f>SUM(P287:P290)</f>
        <v>102968.99091845899</v>
      </c>
      <c r="Q286" s="801">
        <f>SUM(Q287:Q290)</f>
        <v>1</v>
      </c>
      <c r="R286" s="759">
        <f>SUM(R287:R290)</f>
        <v>79911.906492251175</v>
      </c>
      <c r="S286" s="797">
        <f>SUM(S287:S290)</f>
        <v>1</v>
      </c>
      <c r="T286" s="676">
        <f>T146*(I286/I146)/(1.01^10)</f>
        <v>2684987.3309922684</v>
      </c>
      <c r="U286" s="486" t="str">
        <f>U146</f>
        <v xml:space="preserve">Sum </v>
      </c>
      <c r="V286" s="360"/>
      <c r="W286" s="694"/>
      <c r="X286" s="58"/>
      <c r="Y286" s="600"/>
      <c r="Z286" s="361"/>
      <c r="AA286" s="4"/>
      <c r="AB286" s="4"/>
      <c r="AC286" s="4"/>
      <c r="AD286" s="751">
        <f>SUM(AD287:AD303)</f>
        <v>102968.99091845901</v>
      </c>
      <c r="AE286" s="716"/>
      <c r="AF286" s="717"/>
      <c r="AG286" s="717"/>
      <c r="AH286" s="717"/>
      <c r="AI286" s="717"/>
      <c r="AJ286" s="718"/>
      <c r="AK286" s="718"/>
      <c r="AL286" s="718"/>
      <c r="AM286" s="718"/>
      <c r="AN286" s="718"/>
      <c r="AO286" s="718"/>
      <c r="AP286" s="717"/>
      <c r="AQ286" s="719"/>
      <c r="AR286" s="644">
        <f>SUM(AR287:AR303)</f>
        <v>2684987.3309922684</v>
      </c>
      <c r="AU286" s="70"/>
      <c r="AV286" s="70"/>
      <c r="AW286" s="70"/>
      <c r="AX286" s="70"/>
      <c r="AY286" s="70"/>
      <c r="AZ286" s="70"/>
      <c r="BA286" s="70"/>
    </row>
    <row r="287" spans="2:53" ht="15.75" customHeight="1" thickBot="1" x14ac:dyDescent="0.3">
      <c r="B287" s="1945"/>
      <c r="C287" s="579" t="str">
        <f t="shared" si="183"/>
        <v>Leisure</v>
      </c>
      <c r="D287" s="538">
        <f>SUM(D288:D291)</f>
        <v>43655.389755787917</v>
      </c>
      <c r="E287" s="448">
        <f t="shared" si="184"/>
        <v>0.32842606423549919</v>
      </c>
      <c r="F287" s="364">
        <v>4</v>
      </c>
      <c r="G287" s="381">
        <f>H287/F287</f>
        <v>0.46250000000000008</v>
      </c>
      <c r="H287" s="827">
        <f>((H288*I288)+(H289*I289)+(H290*I290)+(H291*I291))/(I288+I289+I290+I291)</f>
        <v>1.8500000000000003</v>
      </c>
      <c r="I287" s="538">
        <f>SUM(I288:I291)</f>
        <v>23597.507976101573</v>
      </c>
      <c r="J287" s="661">
        <f>I287/I336</f>
        <v>0.40987074016753156</v>
      </c>
      <c r="K287" s="363">
        <f>L287/H287</f>
        <v>1.0543208271957969</v>
      </c>
      <c r="L287" s="363">
        <f>M287/I287</f>
        <v>1.9504935303122246</v>
      </c>
      <c r="M287" s="538">
        <f>SUM(M288:M291)</f>
        <v>46026.786638877238</v>
      </c>
      <c r="N287" s="365">
        <f t="shared" si="185"/>
        <v>0.30128117157888917</v>
      </c>
      <c r="O287" s="450" t="s">
        <v>3</v>
      </c>
      <c r="P287" s="532">
        <f>Q287*M286</f>
        <v>41105.514640573543</v>
      </c>
      <c r="Q287" s="358">
        <f>(Q147+Q150)*1.02^10-Q290</f>
        <v>0.39920285004176587</v>
      </c>
      <c r="R287" s="532">
        <f>S287*D286</f>
        <v>34801.106501627612</v>
      </c>
      <c r="S287" s="367">
        <f>(Q287*Z288)/(Q287*Z288+Q288*Z292+Q289*Z293+Q290*Z294)</f>
        <v>0.43549338301673696</v>
      </c>
      <c r="T287" s="677">
        <f>S287*T286</f>
        <v>1169294.2161309023</v>
      </c>
      <c r="U287" s="487" t="str">
        <f>U147</f>
        <v>Battery electric vehicles</v>
      </c>
      <c r="V287" s="1579">
        <f>V147</f>
        <v>0</v>
      </c>
      <c r="W287" s="694"/>
      <c r="X287" s="602">
        <v>0.37919999999999998</v>
      </c>
      <c r="Y287" s="347">
        <f>AV30</f>
        <v>0.9</v>
      </c>
      <c r="Z287" s="61"/>
      <c r="AA287" s="61">
        <f>1/AB287</f>
        <v>2.3734177215189876</v>
      </c>
      <c r="AB287" s="61">
        <f>X287/Y287</f>
        <v>0.42133333333333328</v>
      </c>
      <c r="AC287" s="61">
        <f>AB287/H286</f>
        <v>0.2814132450385059</v>
      </c>
      <c r="AD287" s="694">
        <f t="shared" ref="AD287:AD292" si="186">V287*AB287*$I$286</f>
        <v>0</v>
      </c>
      <c r="AE287" s="720"/>
      <c r="AF287" s="721"/>
      <c r="AG287" s="721"/>
      <c r="AH287" s="721"/>
      <c r="AI287" s="721"/>
      <c r="AJ287" s="721"/>
      <c r="AK287" s="721"/>
      <c r="AL287" s="721"/>
      <c r="AM287" s="721"/>
      <c r="AN287" s="722">
        <f>AD287</f>
        <v>0</v>
      </c>
      <c r="AO287" s="721"/>
      <c r="AP287" s="721"/>
      <c r="AQ287" s="723"/>
      <c r="AR287" s="645">
        <f>V287*T286</f>
        <v>0</v>
      </c>
      <c r="AU287" s="70"/>
      <c r="AV287" s="70"/>
      <c r="AW287" s="70"/>
      <c r="AX287" s="70"/>
      <c r="AY287" s="70"/>
      <c r="AZ287" s="70"/>
      <c r="BA287" s="70"/>
    </row>
    <row r="288" spans="2:53" ht="15.75" customHeight="1" thickBot="1" x14ac:dyDescent="0.3">
      <c r="B288" s="1945"/>
      <c r="C288" s="580" t="str">
        <f t="shared" si="183"/>
        <v>&lt; 5km</v>
      </c>
      <c r="D288" s="691">
        <f>(D148*(1+'Growth, Modal Shift, InfraCosts'!G8)^'Growth, Modal Shift, InfraCosts'!$H$4)*(1-'Growth, Modal Shift, InfraCosts'!S6)</f>
        <v>1623.8322964545116</v>
      </c>
      <c r="E288" s="547">
        <f t="shared" si="184"/>
        <v>1.2216334640153807E-2</v>
      </c>
      <c r="F288" s="364">
        <v>4</v>
      </c>
      <c r="G288" s="381">
        <f>H288/F288</f>
        <v>0.46250000000000002</v>
      </c>
      <c r="H288" s="1347">
        <v>1.85</v>
      </c>
      <c r="I288" s="538">
        <f t="shared" ref="I288:I297" si="187">D288/H288</f>
        <v>877.74718727270897</v>
      </c>
      <c r="J288" s="473">
        <f t="shared" ref="J288:J297" si="188">I288/$I$336</f>
        <v>1.5245800094305925E-2</v>
      </c>
      <c r="K288" s="557">
        <f>(L288/H288)</f>
        <v>1.4126315064523196</v>
      </c>
      <c r="L288" s="1348">
        <f>L8*$AX$9</f>
        <v>2.6133682869367916</v>
      </c>
      <c r="M288" s="538">
        <f>K288*D288</f>
        <v>2293.8766631664662</v>
      </c>
      <c r="N288" s="372">
        <f t="shared" si="185"/>
        <v>1.5015209598675656E-2</v>
      </c>
      <c r="O288" s="58" t="s">
        <v>41</v>
      </c>
      <c r="P288" s="694">
        <f>Q288*M286</f>
        <v>55942.759300074053</v>
      </c>
      <c r="Q288" s="358">
        <f>1-Q287-Q290-Q289</f>
        <v>0.54329714995823397</v>
      </c>
      <c r="R288" s="694">
        <f>S288*D286</f>
        <v>41493.927083189126</v>
      </c>
      <c r="S288" s="367">
        <f>(Q288*Z292)/(Q287*Z288+Q288*Z292+Q289*Z293+Q290*Z294)</f>
        <v>0.51924586591126654</v>
      </c>
      <c r="T288" s="677">
        <f>S288*T286</f>
        <v>1394168.5716418608</v>
      </c>
      <c r="U288" s="487" t="str">
        <f>U148</f>
        <v>ICE Diesel</v>
      </c>
      <c r="V288" s="1577">
        <f>V148</f>
        <v>0</v>
      </c>
      <c r="W288" s="694">
        <f>AB288*74</f>
        <v>107.7187756521739</v>
      </c>
      <c r="X288" s="604">
        <v>0.36391478260869564</v>
      </c>
      <c r="Y288" s="347">
        <v>0.25</v>
      </c>
      <c r="Z288" s="61">
        <f>1/((AB288/42700)/0.84*1000)</f>
        <v>24.64038403639648</v>
      </c>
      <c r="AA288" s="61">
        <f>1/AB288</f>
        <v>0.68697401685057657</v>
      </c>
      <c r="AB288" s="601">
        <v>1.4556591304347826</v>
      </c>
      <c r="AC288" s="61">
        <f>AB288/$H$286</f>
        <v>0.9722510116271722</v>
      </c>
      <c r="AD288" s="694">
        <f t="shared" si="186"/>
        <v>0</v>
      </c>
      <c r="AE288" s="725"/>
      <c r="AF288" s="722">
        <f>AD288</f>
        <v>0</v>
      </c>
      <c r="AG288" s="721"/>
      <c r="AH288" s="721"/>
      <c r="AI288" s="721"/>
      <c r="AJ288" s="721"/>
      <c r="AK288" s="721"/>
      <c r="AL288" s="721"/>
      <c r="AM288" s="721"/>
      <c r="AN288" s="721"/>
      <c r="AO288" s="721"/>
      <c r="AP288" s="721"/>
      <c r="AQ288" s="723"/>
      <c r="AR288" s="645">
        <f>V288*T286</f>
        <v>0</v>
      </c>
      <c r="AU288" s="70"/>
      <c r="AV288" s="1964"/>
      <c r="AW288" s="1964"/>
      <c r="AX288" s="1964"/>
      <c r="AY288" s="1964"/>
      <c r="AZ288" s="70"/>
      <c r="BA288" s="70"/>
    </row>
    <row r="289" spans="2:53" ht="15.75" customHeight="1" thickBot="1" x14ac:dyDescent="0.3">
      <c r="B289" s="1946"/>
      <c r="C289" s="580" t="str">
        <f t="shared" si="183"/>
        <v>5-25 km</v>
      </c>
      <c r="D289" s="691">
        <f>(D149*(1+'Growth, Modal Shift, InfraCosts'!G9)^'Growth, Modal Shift, InfraCosts'!$H$4)*(1-'Growth, Modal Shift, InfraCosts'!S6)</f>
        <v>9886.574739676731</v>
      </c>
      <c r="E289" s="547">
        <f t="shared" si="184"/>
        <v>7.4378189009104867E-2</v>
      </c>
      <c r="F289" s="364">
        <v>4</v>
      </c>
      <c r="G289" s="381">
        <f t="shared" ref="G289:G297" si="189">H289/F289</f>
        <v>0.46250000000000002</v>
      </c>
      <c r="H289" s="1349">
        <v>1.85</v>
      </c>
      <c r="I289" s="538">
        <f t="shared" si="187"/>
        <v>5344.0944538793137</v>
      </c>
      <c r="J289" s="473">
        <f t="shared" si="188"/>
        <v>9.2822850258384687E-2</v>
      </c>
      <c r="K289" s="557">
        <f>(L289/H289)</f>
        <v>1.4126315064523196</v>
      </c>
      <c r="L289" s="1350">
        <f>L9*$AX$9</f>
        <v>2.6133682869367916</v>
      </c>
      <c r="M289" s="538">
        <f>K289*D289</f>
        <v>13966.08696816299</v>
      </c>
      <c r="N289" s="372">
        <f t="shared" si="185"/>
        <v>9.1418918230252624E-2</v>
      </c>
      <c r="O289" s="916" t="s">
        <v>43</v>
      </c>
      <c r="P289" s="912">
        <f>Q289*M286</f>
        <v>2960.3584889056965</v>
      </c>
      <c r="Q289" s="913">
        <f>Q149</f>
        <v>2.8750000000000001E-2</v>
      </c>
      <c r="R289" s="912">
        <f>S289*D286</f>
        <v>1409.8987984078788</v>
      </c>
      <c r="S289" s="914">
        <f>Q289*Z293/(Q287*Z288+Q288*Z292+Q289*Z293+Q290*Z294)</f>
        <v>1.7643163081644066E-2</v>
      </c>
      <c r="T289" s="677">
        <f>S289*T286</f>
        <v>47371.66935284483</v>
      </c>
      <c r="U289" s="487" t="str">
        <f>U149</f>
        <v>ICE hybrid vehicle Diesel</v>
      </c>
      <c r="V289" s="1577">
        <f>V149</f>
        <v>0</v>
      </c>
      <c r="W289" s="694">
        <f>AB289*74</f>
        <v>80.75889341614905</v>
      </c>
      <c r="X289" s="61">
        <f>X296</f>
        <v>0.36391478260869564</v>
      </c>
      <c r="Y289" s="347">
        <f>X289/AB289</f>
        <v>0.33345793601053042</v>
      </c>
      <c r="Z289" s="61">
        <f>1/((AB289/42700)/0.84*1000)</f>
        <v>32.866126413134374</v>
      </c>
      <c r="AA289" s="601">
        <f>AA295</f>
        <v>0.91630775100742656</v>
      </c>
      <c r="AB289" s="61">
        <f>1/AA289</f>
        <v>1.0913363975155277</v>
      </c>
      <c r="AC289" s="61">
        <f>AB289/$H$286</f>
        <v>0.72891578414591174</v>
      </c>
      <c r="AD289" s="694">
        <f t="shared" si="186"/>
        <v>0</v>
      </c>
      <c r="AE289" s="720"/>
      <c r="AF289" s="722">
        <f>AD289</f>
        <v>0</v>
      </c>
      <c r="AG289" s="721"/>
      <c r="AH289" s="721"/>
      <c r="AI289" s="721"/>
      <c r="AJ289" s="721"/>
      <c r="AK289" s="721"/>
      <c r="AL289" s="721"/>
      <c r="AM289" s="721"/>
      <c r="AN289" s="721"/>
      <c r="AO289" s="721"/>
      <c r="AP289" s="721"/>
      <c r="AQ289" s="723"/>
      <c r="AR289" s="645">
        <f>V289*T286</f>
        <v>0</v>
      </c>
      <c r="AT289" s="31"/>
      <c r="AU289" s="70"/>
      <c r="AV289" s="70"/>
      <c r="AW289" s="70"/>
      <c r="AX289" s="70"/>
      <c r="AY289" s="70"/>
      <c r="AZ289" s="70"/>
      <c r="BA289" s="70"/>
    </row>
    <row r="290" spans="2:53" ht="15.75" customHeight="1" x14ac:dyDescent="0.25">
      <c r="C290" s="580" t="str">
        <f t="shared" si="183"/>
        <v>25-50km</v>
      </c>
      <c r="D290" s="691">
        <f>(D150*(1+'Growth, Modal Shift, InfraCosts'!G10)^'Growth, Modal Shift, InfraCosts'!$H$4)*(1-'Growth, Modal Shift, InfraCosts'!S7)</f>
        <v>9998.8076058247789</v>
      </c>
      <c r="E290" s="547">
        <f t="shared" si="184"/>
        <v>7.5222533744384326E-2</v>
      </c>
      <c r="F290" s="364">
        <v>4</v>
      </c>
      <c r="G290" s="381">
        <f t="shared" si="189"/>
        <v>0.46250000000000002</v>
      </c>
      <c r="H290" s="1349">
        <v>1.85</v>
      </c>
      <c r="I290" s="538">
        <f t="shared" si="187"/>
        <v>5404.7608680133935</v>
      </c>
      <c r="J290" s="473">
        <f t="shared" si="188"/>
        <v>9.3876579664457047E-2</v>
      </c>
      <c r="K290" s="557">
        <f>(L290/H290)</f>
        <v>1.4126315064523196</v>
      </c>
      <c r="L290" s="1350">
        <f>L10*$AX$9</f>
        <v>2.6133682869367916</v>
      </c>
      <c r="M290" s="538">
        <f>K290*D290</f>
        <v>14124.630650943169</v>
      </c>
      <c r="N290" s="372">
        <f t="shared" si="185"/>
        <v>9.2456710133241943E-2</v>
      </c>
      <c r="O290" s="917" t="s">
        <v>74</v>
      </c>
      <c r="P290" s="912">
        <f>Q290*M286</f>
        <v>2960.3584889056965</v>
      </c>
      <c r="Q290" s="913">
        <f>Q150</f>
        <v>2.8750000000000001E-2</v>
      </c>
      <c r="R290" s="912">
        <f>S290*D286</f>
        <v>2206.9741090265616</v>
      </c>
      <c r="S290" s="914">
        <f>Q290*Z294/(Q287*Z288+Q288*Z292+Q289*Z293+Q290*Z294)</f>
        <v>2.7617587990352417E-2</v>
      </c>
      <c r="T290" s="677">
        <f>S290*T286</f>
        <v>74152.873866660462</v>
      </c>
      <c r="U290" s="487" t="str">
        <f>U150</f>
        <v>ICE Plug-in hybrid vehicle Diesel</v>
      </c>
      <c r="V290" s="1577">
        <f>V150</f>
        <v>0</v>
      </c>
      <c r="W290" s="694">
        <f>AB290*74</f>
        <v>37.170039907582442</v>
      </c>
      <c r="X290" s="61">
        <f>X288</f>
        <v>0.36391478260869564</v>
      </c>
      <c r="Y290" s="347">
        <f>Y296</f>
        <v>0.72450000000000003</v>
      </c>
      <c r="Z290" s="61">
        <f>1/((AB290/42700)/0.84*1000)</f>
        <v>71.407832937476996</v>
      </c>
      <c r="AA290" s="61">
        <f>1/AB290</f>
        <v>1.990850700832971</v>
      </c>
      <c r="AB290" s="61">
        <f>X290/Y290</f>
        <v>0.50229783658895188</v>
      </c>
      <c r="AC290" s="61">
        <f>AB290/$H$286</f>
        <v>0.33549034217638796</v>
      </c>
      <c r="AD290" s="694">
        <f t="shared" si="186"/>
        <v>0</v>
      </c>
      <c r="AE290" s="720"/>
      <c r="AF290" s="722">
        <f>AD290*$AW$17</f>
        <v>0</v>
      </c>
      <c r="AG290" s="721"/>
      <c r="AH290" s="721"/>
      <c r="AI290" s="721"/>
      <c r="AJ290" s="721"/>
      <c r="AK290" s="721"/>
      <c r="AL290" s="721"/>
      <c r="AM290" s="721"/>
      <c r="AN290" s="721"/>
      <c r="AO290" s="722">
        <f>AD290*$AX$17</f>
        <v>0</v>
      </c>
      <c r="AP290" s="721"/>
      <c r="AQ290" s="723"/>
      <c r="AR290" s="645">
        <f>V290*T286</f>
        <v>0</v>
      </c>
      <c r="AT290" s="31"/>
      <c r="AU290" s="70"/>
      <c r="AV290" s="70"/>
      <c r="AW290" s="70"/>
      <c r="AX290" s="70"/>
      <c r="AY290" s="70"/>
      <c r="AZ290" s="70"/>
      <c r="BA290" s="70"/>
    </row>
    <row r="291" spans="2:53" ht="15.75" customHeight="1" thickBot="1" x14ac:dyDescent="0.3">
      <c r="C291" s="580" t="str">
        <f t="shared" si="183"/>
        <v>&gt;50 km</v>
      </c>
      <c r="D291" s="691">
        <f>(D151*(1+'Growth, Modal Shift, InfraCosts'!G11)^'Growth, Modal Shift, InfraCosts'!$H$4)
-(D151*(1+'Growth, Modal Shift, InfraCosts'!G11)^'Growth, Modal Shift, InfraCosts'!$H$4)*'Growth, Modal Shift, InfraCosts'!S8
-(D151*(1+'Growth, Modal Shift, InfraCosts'!G11)^'Growth, Modal Shift, InfraCosts'!$H$4)*'Growth, Modal Shift, InfraCosts'!S7-(D151*(1+'Growth, Modal Shift, InfraCosts'!G11)^'Growth, Modal Shift, InfraCosts'!$H$4)*'Growth, Modal Shift, InfraCosts'!S9</f>
        <v>22146.175113831894</v>
      </c>
      <c r="E291" s="547">
        <f t="shared" si="184"/>
        <v>0.16660900684185617</v>
      </c>
      <c r="F291" s="364">
        <v>4</v>
      </c>
      <c r="G291" s="381">
        <f t="shared" si="189"/>
        <v>0.46250000000000002</v>
      </c>
      <c r="H291" s="824">
        <v>1.85</v>
      </c>
      <c r="I291" s="538">
        <f t="shared" si="187"/>
        <v>11970.905466936158</v>
      </c>
      <c r="J291" s="473">
        <f t="shared" si="188"/>
        <v>0.20792551015038391</v>
      </c>
      <c r="K291" s="557">
        <f>(L291/H291)</f>
        <v>0.7063157532261598</v>
      </c>
      <c r="L291" s="379">
        <f>L11*$AX$9</f>
        <v>1.3066841434683958</v>
      </c>
      <c r="M291" s="538">
        <f>K291*D291</f>
        <v>15642.19235660461</v>
      </c>
      <c r="N291" s="372">
        <f t="shared" si="185"/>
        <v>0.10239033361671894</v>
      </c>
      <c r="T291" s="756"/>
      <c r="U291" s="487" t="s">
        <v>483</v>
      </c>
      <c r="V291" s="1577">
        <f t="shared" ref="V291:V296" si="190">V151</f>
        <v>0</v>
      </c>
      <c r="W291" s="694"/>
      <c r="X291" s="61">
        <f t="shared" ref="X291:AC291" si="191">X288</f>
        <v>0.36391478260869564</v>
      </c>
      <c r="Y291" s="362">
        <f t="shared" si="191"/>
        <v>0.25</v>
      </c>
      <c r="Z291" s="61">
        <f t="shared" si="191"/>
        <v>24.64038403639648</v>
      </c>
      <c r="AA291" s="61">
        <f t="shared" si="191"/>
        <v>0.68697401685057657</v>
      </c>
      <c r="AB291" s="61">
        <f t="shared" si="191"/>
        <v>1.4556591304347826</v>
      </c>
      <c r="AC291" s="61">
        <f t="shared" si="191"/>
        <v>0.9722510116271722</v>
      </c>
      <c r="AD291" s="694">
        <f t="shared" si="186"/>
        <v>0</v>
      </c>
      <c r="AE291" s="725"/>
      <c r="AF291" s="727"/>
      <c r="AG291" s="721"/>
      <c r="AH291" s="721"/>
      <c r="AI291" s="721"/>
      <c r="AJ291" s="721"/>
      <c r="AK291" s="738">
        <f>AD291</f>
        <v>0</v>
      </c>
      <c r="AL291" s="721"/>
      <c r="AM291" s="721"/>
      <c r="AN291" s="721"/>
      <c r="AO291" s="721"/>
      <c r="AP291" s="721"/>
      <c r="AQ291" s="723"/>
      <c r="AR291" s="645">
        <f>V291*T286</f>
        <v>0</v>
      </c>
      <c r="AT291" s="31"/>
      <c r="AU291" s="70"/>
      <c r="AV291" s="70"/>
      <c r="AW291" s="70"/>
      <c r="AX291" s="70"/>
      <c r="AY291" s="70"/>
      <c r="AZ291" s="70"/>
      <c r="BA291" s="70"/>
    </row>
    <row r="292" spans="2:53" ht="15.75" customHeight="1" thickBot="1" x14ac:dyDescent="0.3">
      <c r="C292" s="579" t="str">
        <f t="shared" si="183"/>
        <v>Work</v>
      </c>
      <c r="D292" s="538">
        <f>SUM(D293:D296)</f>
        <v>33055.54464325124</v>
      </c>
      <c r="E292" s="448">
        <f t="shared" si="184"/>
        <v>0.24868183491374035</v>
      </c>
      <c r="F292" s="364">
        <v>4</v>
      </c>
      <c r="G292" s="381">
        <f t="shared" si="189"/>
        <v>0.28999999999999998</v>
      </c>
      <c r="H292" s="827">
        <f>((H293*I293)+(H294*I294)+(H295*I295)+(H296*I296))/(I293+I294+I295+I296)</f>
        <v>1.1599999999999999</v>
      </c>
      <c r="I292" s="538">
        <f t="shared" si="187"/>
        <v>28496.159175216588</v>
      </c>
      <c r="J292" s="473">
        <f t="shared" si="188"/>
        <v>0.49495658036884665</v>
      </c>
      <c r="K292" s="557">
        <f>((K293*D293)+(K294*D294)+(K295*D295)+(K296*D296))/(D293+D294+D295+D296)</f>
        <v>1.6720081633781754</v>
      </c>
      <c r="L292" s="363">
        <f>M292/I292</f>
        <v>1.9395294695186833</v>
      </c>
      <c r="M292" s="538">
        <f>SUM(M293:M296)</f>
        <v>55269.140488427787</v>
      </c>
      <c r="N292" s="365">
        <f t="shared" si="185"/>
        <v>0.36177957694849705</v>
      </c>
      <c r="T292" s="756"/>
      <c r="U292" s="487" t="str">
        <f>U152</f>
        <v>ICE Petrol</v>
      </c>
      <c r="V292" s="1577">
        <f t="shared" si="190"/>
        <v>0</v>
      </c>
      <c r="W292" s="694">
        <f>AB292*73</f>
        <v>111.08695652173914</v>
      </c>
      <c r="X292" s="602">
        <v>0.3576086956521739</v>
      </c>
      <c r="Y292" s="362">
        <v>0.23499999999999999</v>
      </c>
      <c r="Z292" s="61">
        <f>1/((AB292/43800)/0.75*1000)</f>
        <v>21.587142857142855</v>
      </c>
      <c r="AA292" s="61">
        <f>1/AB292</f>
        <v>0.65714285714285714</v>
      </c>
      <c r="AB292" s="602">
        <v>1.5217391304347827</v>
      </c>
      <c r="AC292" s="61">
        <f>AB292/$H$286</f>
        <v>1.0163865825895406</v>
      </c>
      <c r="AD292" s="694">
        <f t="shared" si="186"/>
        <v>0</v>
      </c>
      <c r="AE292" s="726">
        <f>AD292</f>
        <v>0</v>
      </c>
      <c r="AF292" s="727"/>
      <c r="AG292" s="721"/>
      <c r="AH292" s="721"/>
      <c r="AI292" s="721"/>
      <c r="AJ292" s="721"/>
      <c r="AK292" s="721"/>
      <c r="AL292" s="721"/>
      <c r="AM292" s="721"/>
      <c r="AN292" s="721"/>
      <c r="AO292" s="721"/>
      <c r="AP292" s="721"/>
      <c r="AQ292" s="723"/>
      <c r="AR292" s="645">
        <f>V292*T286</f>
        <v>0</v>
      </c>
      <c r="AT292" s="31"/>
      <c r="AU292" s="70"/>
      <c r="AV292" s="70"/>
      <c r="AW292" s="70"/>
      <c r="AX292" s="70"/>
      <c r="AY292" s="70"/>
      <c r="AZ292" s="70"/>
      <c r="BA292" s="70"/>
    </row>
    <row r="293" spans="2:53" ht="15.75" customHeight="1" x14ac:dyDescent="0.25">
      <c r="C293" s="580" t="str">
        <f t="shared" si="183"/>
        <v>&lt; 5km</v>
      </c>
      <c r="D293" s="691">
        <f>(D153*(1+'Growth, Modal Shift, InfraCosts'!G13)^'Growth, Modal Shift, InfraCosts'!$H$4)*(1-'Growth, Modal Shift, InfraCosts'!S10)</f>
        <v>396.96001063705052</v>
      </c>
      <c r="E293" s="547">
        <f t="shared" si="184"/>
        <v>2.9863898749208492E-3</v>
      </c>
      <c r="F293" s="364">
        <v>4</v>
      </c>
      <c r="G293" s="381">
        <f t="shared" si="189"/>
        <v>0.28999999999999998</v>
      </c>
      <c r="H293" s="822">
        <v>1.1599999999999999</v>
      </c>
      <c r="I293" s="538">
        <f t="shared" si="187"/>
        <v>342.20690572159532</v>
      </c>
      <c r="J293" s="473">
        <f t="shared" si="188"/>
        <v>5.9438733056304165E-3</v>
      </c>
      <c r="K293" s="557">
        <f>(L293/H293)</f>
        <v>2.2529036956351653</v>
      </c>
      <c r="L293" s="1348">
        <f>L13*$AX$9</f>
        <v>2.6133682869367916</v>
      </c>
      <c r="M293" s="538">
        <f>K293*D293</f>
        <v>894.31267498358568</v>
      </c>
      <c r="N293" s="372">
        <f t="shared" si="185"/>
        <v>5.8539730916022442E-3</v>
      </c>
      <c r="T293" s="756"/>
      <c r="U293" s="487" t="str">
        <f>U153</f>
        <v>ICE Bioethanol</v>
      </c>
      <c r="V293" s="1577">
        <f t="shared" si="190"/>
        <v>0</v>
      </c>
      <c r="W293" s="694"/>
      <c r="X293" s="603">
        <v>0.3576086956521739</v>
      </c>
      <c r="Y293" s="347">
        <f>X293/AB293</f>
        <v>0.23499999999999999</v>
      </c>
      <c r="Z293" s="61">
        <f>1/((AB293/26700)/0.79*1000)</f>
        <v>13.861114285714285</v>
      </c>
      <c r="AA293" s="61">
        <f>1/AB293</f>
        <v>0.65714285714285714</v>
      </c>
      <c r="AB293" s="603">
        <v>1.5217391304347827</v>
      </c>
      <c r="AC293" s="61">
        <f t="shared" ref="AC293:AC295" si="192">AB293/$H$286</f>
        <v>1.0163865825895406</v>
      </c>
      <c r="AD293" s="694">
        <f t="shared" ref="AD293:AD303" si="193">V293*AB293*$I$286</f>
        <v>0</v>
      </c>
      <c r="AE293" s="720"/>
      <c r="AF293" s="721"/>
      <c r="AG293" s="721"/>
      <c r="AH293" s="721"/>
      <c r="AI293" s="721"/>
      <c r="AJ293" s="722">
        <f>AD293</f>
        <v>0</v>
      </c>
      <c r="AK293" s="741"/>
      <c r="AL293" s="721"/>
      <c r="AM293" s="721"/>
      <c r="AN293" s="721"/>
      <c r="AO293" s="721"/>
      <c r="AP293" s="721"/>
      <c r="AQ293" s="723"/>
      <c r="AR293" s="645">
        <f>V293*T286</f>
        <v>0</v>
      </c>
      <c r="AT293" s="31"/>
      <c r="AU293" s="70"/>
      <c r="AV293" s="70"/>
      <c r="AW293" s="70"/>
      <c r="AX293" s="70"/>
      <c r="AY293" s="70"/>
      <c r="AZ293" s="70"/>
      <c r="BA293" s="70"/>
    </row>
    <row r="294" spans="2:53" ht="15.75" customHeight="1" thickBot="1" x14ac:dyDescent="0.3">
      <c r="C294" s="580" t="str">
        <f t="shared" si="183"/>
        <v>5-25 km</v>
      </c>
      <c r="D294" s="691">
        <f>(D154*(1+'Growth, Modal Shift, InfraCosts'!G14)^'Growth, Modal Shift, InfraCosts'!$H$4)*(1-'Growth, Modal Shift, InfraCosts'!S10)</f>
        <v>5926.5876747340544</v>
      </c>
      <c r="E294" s="547">
        <f t="shared" si="184"/>
        <v>4.4586610616652686E-2</v>
      </c>
      <c r="F294" s="364">
        <v>4</v>
      </c>
      <c r="G294" s="381">
        <f t="shared" si="189"/>
        <v>0.28999999999999998</v>
      </c>
      <c r="H294" s="823">
        <v>1.1599999999999999</v>
      </c>
      <c r="I294" s="538">
        <f t="shared" si="187"/>
        <v>5109.1273058052193</v>
      </c>
      <c r="J294" s="473">
        <f t="shared" si="188"/>
        <v>8.8741649862405708E-2</v>
      </c>
      <c r="K294" s="557">
        <f>(L294/H294)</f>
        <v>2.2529036956351653</v>
      </c>
      <c r="L294" s="1350">
        <f>L14*$AX$9</f>
        <v>2.6133682869367916</v>
      </c>
      <c r="M294" s="538">
        <f>K294*D294</f>
        <v>13352.031274914172</v>
      </c>
      <c r="N294" s="372">
        <f t="shared" si="185"/>
        <v>8.7399445393093383E-2</v>
      </c>
      <c r="T294" s="756"/>
      <c r="U294" s="487" t="str">
        <f>U154</f>
        <v>ICE Bio-methanol</v>
      </c>
      <c r="V294" s="1577">
        <f t="shared" si="190"/>
        <v>0</v>
      </c>
      <c r="W294" s="694"/>
      <c r="X294" s="604">
        <v>0.36391478260869564</v>
      </c>
      <c r="Y294" s="347">
        <f>X294/AB294</f>
        <v>0.25</v>
      </c>
      <c r="Z294" s="61">
        <f>1/((AB294/37600)/0.84*1000)</f>
        <v>21.697387348208608</v>
      </c>
      <c r="AA294" s="61">
        <f>AA288</f>
        <v>0.68697401685057657</v>
      </c>
      <c r="AB294" s="604">
        <v>1.4556591304347826</v>
      </c>
      <c r="AC294" s="61">
        <f>AB294/$H$286</f>
        <v>0.9722510116271722</v>
      </c>
      <c r="AD294" s="694">
        <f>V294*AB294*$I$286</f>
        <v>0</v>
      </c>
      <c r="AE294" s="720"/>
      <c r="AF294" s="721"/>
      <c r="AG294" s="721"/>
      <c r="AI294" s="722">
        <f>+AD294</f>
        <v>0</v>
      </c>
      <c r="AJ294" s="721"/>
      <c r="AK294" s="721"/>
      <c r="AL294" s="721"/>
      <c r="AM294" s="721"/>
      <c r="AN294" s="721"/>
      <c r="AO294" s="721"/>
      <c r="AP294" s="721"/>
      <c r="AQ294" s="723"/>
      <c r="AR294" s="645">
        <f>V294*T286</f>
        <v>0</v>
      </c>
      <c r="AT294" s="31"/>
      <c r="AU294" s="70"/>
      <c r="AV294" s="70"/>
      <c r="AW294" s="70"/>
      <c r="AX294" s="70"/>
      <c r="AY294" s="70"/>
      <c r="AZ294" s="70"/>
      <c r="BA294" s="70"/>
    </row>
    <row r="295" spans="2:53" ht="15.75" customHeight="1" thickBot="1" x14ac:dyDescent="0.3">
      <c r="C295" s="580" t="str">
        <f t="shared" si="183"/>
        <v>25-50km</v>
      </c>
      <c r="D295" s="691">
        <f>(D155*(1+'Growth, Modal Shift, InfraCosts'!G15)^'Growth, Modal Shift, InfraCosts'!$H$4)*(1-'Growth, Modal Shift, InfraCosts'!S11)</f>
        <v>9685.7128785488858</v>
      </c>
      <c r="E295" s="547">
        <f t="shared" si="184"/>
        <v>7.2867075012087126E-2</v>
      </c>
      <c r="F295" s="364">
        <v>4</v>
      </c>
      <c r="G295" s="381">
        <f t="shared" si="189"/>
        <v>0.28999999999999998</v>
      </c>
      <c r="H295" s="823">
        <v>1.1599999999999999</v>
      </c>
      <c r="I295" s="538">
        <f t="shared" si="187"/>
        <v>8349.7524815076613</v>
      </c>
      <c r="J295" s="473">
        <f t="shared" si="188"/>
        <v>0.14502884089613147</v>
      </c>
      <c r="K295" s="557">
        <f>(L295/H295)</f>
        <v>2.2529036956351653</v>
      </c>
      <c r="L295" s="1350">
        <f>L15*$AX$9</f>
        <v>2.6133682869367916</v>
      </c>
      <c r="M295" s="538">
        <f>K295*D295</f>
        <v>21820.9783389439</v>
      </c>
      <c r="N295" s="372">
        <f t="shared" si="185"/>
        <v>0.14283530089848895</v>
      </c>
      <c r="O295" s="373"/>
      <c r="P295" s="691"/>
      <c r="Q295" s="436"/>
      <c r="S295" s="374"/>
      <c r="T295" s="525"/>
      <c r="U295" s="487" t="str">
        <f>U155</f>
        <v>ICE hybrid vehicle Bio-methanol</v>
      </c>
      <c r="V295" s="1577">
        <f t="shared" si="190"/>
        <v>0</v>
      </c>
      <c r="W295" s="694"/>
      <c r="X295" s="61">
        <f>X289</f>
        <v>0.36391478260869564</v>
      </c>
      <c r="Y295" s="347">
        <f>X295/AB295</f>
        <v>0.33345793601053042</v>
      </c>
      <c r="Z295" s="61">
        <f>1/((AB295/37600)/0.84*1000)</f>
        <v>28.940664007818558</v>
      </c>
      <c r="AA295" s="601">
        <f>AA149*AA296/AA150</f>
        <v>0.91630775100742656</v>
      </c>
      <c r="AB295" s="61">
        <f>1/AA295</f>
        <v>1.0913363975155277</v>
      </c>
      <c r="AC295" s="61">
        <f t="shared" si="192"/>
        <v>0.72891578414591174</v>
      </c>
      <c r="AD295" s="694">
        <f t="shared" si="193"/>
        <v>0</v>
      </c>
      <c r="AE295" s="720"/>
      <c r="AF295" s="721"/>
      <c r="AG295" s="721"/>
      <c r="AH295" s="721"/>
      <c r="AI295" s="722">
        <f>AD295</f>
        <v>0</v>
      </c>
      <c r="AJ295" s="721"/>
      <c r="AK295" s="721"/>
      <c r="AL295" s="721"/>
      <c r="AM295" s="721"/>
      <c r="AN295" s="721"/>
      <c r="AO295" s="721"/>
      <c r="AP295" s="721"/>
      <c r="AQ295" s="723"/>
      <c r="AR295" s="645">
        <f>V295*T286</f>
        <v>0</v>
      </c>
      <c r="AT295" s="31"/>
      <c r="AU295" s="70"/>
      <c r="AV295" s="70"/>
      <c r="AW295" s="70"/>
      <c r="AX295" s="70"/>
      <c r="AY295" s="70"/>
      <c r="AZ295" s="70"/>
      <c r="BA295" s="70"/>
    </row>
    <row r="296" spans="2:53" ht="15.75" customHeight="1" x14ac:dyDescent="0.25">
      <c r="C296" s="580" t="str">
        <f t="shared" si="183"/>
        <v>&gt;50 km</v>
      </c>
      <c r="D296" s="691">
        <f>(D156*(1+'Growth, Modal Shift, InfraCosts'!$G$16)^'Growth, Modal Shift, InfraCosts'!$H$4)
-(D156*(1+'Growth, Modal Shift, InfraCosts'!$G$16)^'Growth, Modal Shift, InfraCosts'!$H$4)*'Growth, Modal Shift, InfraCosts'!$S$12
-(D156*(1+'Growth, Modal Shift, InfraCosts'!$G$16)^'Growth, Modal Shift, InfraCosts'!$H$4)*'Growth, Modal Shift, InfraCosts'!S11-(D156*(1+'Growth, Modal Shift, InfraCosts'!$G$16)^'Growth, Modal Shift, InfraCosts'!$H$4)*'Growth, Modal Shift, InfraCosts'!S13</f>
        <v>17046.28407933125</v>
      </c>
      <c r="E296" s="547">
        <f t="shared" si="184"/>
        <v>0.1282417594100797</v>
      </c>
      <c r="F296" s="364">
        <v>4</v>
      </c>
      <c r="G296" s="381">
        <f t="shared" si="189"/>
        <v>0.28999999999999998</v>
      </c>
      <c r="H296" s="823">
        <v>1.1599999999999999</v>
      </c>
      <c r="I296" s="538">
        <f t="shared" si="187"/>
        <v>14695.072482182113</v>
      </c>
      <c r="J296" s="473">
        <f t="shared" si="188"/>
        <v>0.25524221630467908</v>
      </c>
      <c r="K296" s="557">
        <f>(L296/H296)</f>
        <v>1.1264518478175827</v>
      </c>
      <c r="L296" s="1350">
        <f>L16*$AX$9</f>
        <v>1.3066841434683958</v>
      </c>
      <c r="M296" s="538">
        <f>K296*D296</f>
        <v>19201.818199586127</v>
      </c>
      <c r="N296" s="372">
        <f t="shared" si="185"/>
        <v>0.12569085756531245</v>
      </c>
      <c r="O296" s="373"/>
      <c r="P296" s="691"/>
      <c r="Q296" s="436"/>
      <c r="S296" s="374"/>
      <c r="T296" s="525"/>
      <c r="U296" s="487" t="str">
        <f>U156</f>
        <v>ICE Plug-in hybrid vehicle Bio-methanol</v>
      </c>
      <c r="V296" s="1577">
        <f t="shared" si="190"/>
        <v>0</v>
      </c>
      <c r="W296" s="694"/>
      <c r="X296" s="61">
        <f>X290</f>
        <v>0.36391478260869564</v>
      </c>
      <c r="Y296" s="347">
        <f>AW31</f>
        <v>0.72450000000000003</v>
      </c>
      <c r="Z296" s="61">
        <f>1/((AB296/37600)/0.84*1000)</f>
        <v>62.879028535108553</v>
      </c>
      <c r="AA296" s="61">
        <f>1/AB296</f>
        <v>1.990850700832971</v>
      </c>
      <c r="AB296" s="61">
        <f>X296/Y296</f>
        <v>0.50229783658895188</v>
      </c>
      <c r="AC296" s="61">
        <f>AB296/$H$286</f>
        <v>0.33549034217638796</v>
      </c>
      <c r="AD296" s="694">
        <f>V296*AB296*$I$286</f>
        <v>0</v>
      </c>
      <c r="AE296" s="720"/>
      <c r="AF296" s="721"/>
      <c r="AG296" s="721"/>
      <c r="AH296" s="721"/>
      <c r="AI296" s="722">
        <f>AD296*$AW$17</f>
        <v>0</v>
      </c>
      <c r="AJ296" s="721"/>
      <c r="AK296" s="721"/>
      <c r="AL296" s="721"/>
      <c r="AM296" s="721"/>
      <c r="AN296" s="721"/>
      <c r="AO296" s="722">
        <f>AD296*$AX$17</f>
        <v>0</v>
      </c>
      <c r="AP296" s="721"/>
      <c r="AQ296" s="723"/>
      <c r="AR296" s="645">
        <f>V296*T286</f>
        <v>0</v>
      </c>
      <c r="AT296" s="31"/>
      <c r="AU296" s="70"/>
      <c r="AV296" s="70"/>
      <c r="AW296" s="70"/>
      <c r="AX296" s="70"/>
      <c r="AY296" s="70"/>
      <c r="AZ296" s="70"/>
      <c r="BA296" s="70"/>
    </row>
    <row r="297" spans="2:53" ht="15.75" customHeight="1" thickBot="1" x14ac:dyDescent="0.3">
      <c r="C297" s="579" t="str">
        <f t="shared" si="183"/>
        <v>International</v>
      </c>
      <c r="D297" s="538">
        <f>(D157*(1+'Growth, Modal Shift, InfraCosts'!G17)^'Growth, Modal Shift, InfraCosts'!$H$4)*(1-'Growth, Modal Shift, InfraCosts'!S17)</f>
        <v>3200.9720932120063</v>
      </c>
      <c r="E297" s="448">
        <f t="shared" si="184"/>
        <v>2.4081394581110242E-2</v>
      </c>
      <c r="F297" s="364">
        <v>4</v>
      </c>
      <c r="G297" s="381">
        <f t="shared" si="189"/>
        <v>0.625</v>
      </c>
      <c r="H297" s="824">
        <v>2.5</v>
      </c>
      <c r="I297" s="538">
        <f t="shared" si="187"/>
        <v>1280.3888372848025</v>
      </c>
      <c r="J297" s="473">
        <f t="shared" si="188"/>
        <v>2.2239378877280318E-2</v>
      </c>
      <c r="K297" s="557">
        <f>(L297/H297)</f>
        <v>0.52267365738735827</v>
      </c>
      <c r="L297" s="379">
        <f>L17*$AX$9</f>
        <v>1.3066841434683958</v>
      </c>
      <c r="M297" s="538">
        <f>K297*D297</f>
        <v>1673.0637911539873</v>
      </c>
      <c r="N297" s="365">
        <f t="shared" si="185"/>
        <v>1.0951505762936032E-2</v>
      </c>
      <c r="O297" s="373"/>
      <c r="P297" s="691"/>
      <c r="Q297" s="436"/>
      <c r="S297" s="374"/>
      <c r="T297" s="525"/>
      <c r="U297" s="487" t="s">
        <v>412</v>
      </c>
      <c r="V297" s="1577">
        <f>V157</f>
        <v>0</v>
      </c>
      <c r="W297" s="694"/>
      <c r="X297" s="61">
        <f t="shared" ref="X297:AB298" si="194">X288</f>
        <v>0.36391478260869564</v>
      </c>
      <c r="Y297" s="362">
        <f t="shared" si="194"/>
        <v>0.25</v>
      </c>
      <c r="Z297" s="61">
        <f t="shared" si="194"/>
        <v>24.64038403639648</v>
      </c>
      <c r="AA297" s="61">
        <f t="shared" si="194"/>
        <v>0.68697401685057657</v>
      </c>
      <c r="AB297" s="61">
        <f t="shared" si="194"/>
        <v>1.4556591304347826</v>
      </c>
      <c r="AC297" s="61">
        <f>AB297/H286</f>
        <v>0.9722510116271722</v>
      </c>
      <c r="AD297" s="694">
        <f t="shared" si="193"/>
        <v>0</v>
      </c>
      <c r="AE297" s="720"/>
      <c r="AF297" s="727"/>
      <c r="AG297" s="721"/>
      <c r="AH297" s="722">
        <f>AD297</f>
        <v>0</v>
      </c>
      <c r="AI297" s="721"/>
      <c r="AJ297" s="721"/>
      <c r="AK297" s="721"/>
      <c r="AL297" s="721"/>
      <c r="AM297" s="721"/>
      <c r="AN297" s="721"/>
      <c r="AO297" s="721"/>
      <c r="AP297" s="721"/>
      <c r="AQ297" s="723"/>
      <c r="AR297" s="645">
        <f>V297*T286</f>
        <v>0</v>
      </c>
      <c r="AT297" s="31"/>
      <c r="AU297" s="70"/>
      <c r="AV297" s="70"/>
      <c r="AW297" s="70"/>
      <c r="AX297" s="70"/>
      <c r="AY297" s="70"/>
      <c r="AZ297" s="70"/>
      <c r="BA297" s="70"/>
    </row>
    <row r="298" spans="2:53" ht="15.75" customHeight="1" x14ac:dyDescent="0.25">
      <c r="C298" s="580"/>
      <c r="D298" s="691"/>
      <c r="E298" s="448"/>
      <c r="F298" s="364"/>
      <c r="G298" s="381"/>
      <c r="H298" s="827"/>
      <c r="I298" s="538"/>
      <c r="J298" s="473"/>
      <c r="K298" s="557"/>
      <c r="L298" s="363"/>
      <c r="M298" s="538"/>
      <c r="N298" s="372"/>
      <c r="O298" s="373"/>
      <c r="P298" s="691"/>
      <c r="Q298" s="436"/>
      <c r="S298" s="374"/>
      <c r="T298" s="525"/>
      <c r="U298" s="487" t="s">
        <v>413</v>
      </c>
      <c r="V298" s="1577">
        <f>V158</f>
        <v>0</v>
      </c>
      <c r="W298" s="694"/>
      <c r="X298" s="61">
        <f t="shared" si="194"/>
        <v>0.36391478260869564</v>
      </c>
      <c r="Y298" s="362">
        <f t="shared" si="194"/>
        <v>0.33345793601053042</v>
      </c>
      <c r="Z298" s="61">
        <f t="shared" si="194"/>
        <v>32.866126413134374</v>
      </c>
      <c r="AA298" s="61">
        <f t="shared" si="194"/>
        <v>0.91630775100742656</v>
      </c>
      <c r="AB298" s="61">
        <f t="shared" si="194"/>
        <v>1.0913363975155277</v>
      </c>
      <c r="AC298" s="61">
        <f>AB298/H286</f>
        <v>0.72891578414591174</v>
      </c>
      <c r="AD298" s="694">
        <f t="shared" si="193"/>
        <v>0</v>
      </c>
      <c r="AE298" s="720"/>
      <c r="AF298" s="727"/>
      <c r="AG298" s="721"/>
      <c r="AH298" s="722">
        <f>AD298</f>
        <v>0</v>
      </c>
      <c r="AI298" s="721"/>
      <c r="AJ298" s="721"/>
      <c r="AK298" s="721"/>
      <c r="AL298" s="721"/>
      <c r="AM298" s="721"/>
      <c r="AN298" s="721"/>
      <c r="AO298" s="721"/>
      <c r="AP298" s="721"/>
      <c r="AQ298" s="723"/>
      <c r="AR298" s="645">
        <f>V298*T286</f>
        <v>0</v>
      </c>
      <c r="AT298" s="31"/>
      <c r="AU298" s="1526"/>
      <c r="AV298" s="1526"/>
      <c r="AW298" s="1526"/>
      <c r="AX298" s="1526"/>
      <c r="AY298" s="1526"/>
      <c r="AZ298" s="70"/>
      <c r="BA298" s="70"/>
    </row>
    <row r="299" spans="2:53" ht="15.75" customHeight="1" x14ac:dyDescent="0.25">
      <c r="C299" s="580"/>
      <c r="D299" s="691"/>
      <c r="E299" s="448"/>
      <c r="F299" s="364"/>
      <c r="G299" s="381"/>
      <c r="H299" s="827"/>
      <c r="I299" s="538"/>
      <c r="J299" s="473"/>
      <c r="K299" s="557"/>
      <c r="L299" s="363"/>
      <c r="M299" s="538"/>
      <c r="N299" s="372"/>
      <c r="O299" s="373"/>
      <c r="P299" s="691"/>
      <c r="Q299" s="436"/>
      <c r="S299" s="374"/>
      <c r="T299" s="525"/>
      <c r="U299" s="487" t="s">
        <v>414</v>
      </c>
      <c r="V299" s="1577">
        <f>V159</f>
        <v>0</v>
      </c>
      <c r="W299" s="694"/>
      <c r="X299" s="61">
        <f>X288</f>
        <v>0.36391478260869564</v>
      </c>
      <c r="Y299" s="362">
        <f>Y296</f>
        <v>0.72450000000000003</v>
      </c>
      <c r="Z299" s="61">
        <f>Z290</f>
        <v>71.407832937476996</v>
      </c>
      <c r="AA299" s="61">
        <f>AA290</f>
        <v>1.990850700832971</v>
      </c>
      <c r="AB299" s="61">
        <f>AB290</f>
        <v>0.50229783658895188</v>
      </c>
      <c r="AC299" s="61">
        <f>AB299/H286</f>
        <v>0.33549034217638796</v>
      </c>
      <c r="AD299" s="694">
        <f t="shared" si="193"/>
        <v>0</v>
      </c>
      <c r="AE299" s="720"/>
      <c r="AF299" s="727"/>
      <c r="AG299" s="721"/>
      <c r="AH299" s="722">
        <f>AD299*$AW$17</f>
        <v>0</v>
      </c>
      <c r="AI299" s="721"/>
      <c r="AJ299" s="721"/>
      <c r="AK299" s="721"/>
      <c r="AL299" s="721"/>
      <c r="AM299" s="721"/>
      <c r="AN299" s="721"/>
      <c r="AO299" s="722">
        <f>AD299*$AX$17</f>
        <v>0</v>
      </c>
      <c r="AP299" s="721"/>
      <c r="AQ299" s="723"/>
      <c r="AR299" s="645">
        <f>V299*T286</f>
        <v>0</v>
      </c>
      <c r="AT299" s="31"/>
      <c r="AU299" s="894"/>
      <c r="AV299" s="894"/>
      <c r="AW299" s="894"/>
      <c r="AX299" s="894"/>
      <c r="AY299" s="894"/>
      <c r="AZ299" s="1526"/>
      <c r="BA299" s="1526"/>
    </row>
    <row r="300" spans="2:53" ht="15.75" customHeight="1" x14ac:dyDescent="0.25">
      <c r="C300" s="580"/>
      <c r="D300" s="691"/>
      <c r="E300" s="448"/>
      <c r="F300" s="364"/>
      <c r="G300" s="381"/>
      <c r="H300" s="827"/>
      <c r="I300" s="538"/>
      <c r="J300" s="473"/>
      <c r="K300" s="557"/>
      <c r="L300" s="363"/>
      <c r="M300" s="538"/>
      <c r="N300" s="372"/>
      <c r="O300" s="373"/>
      <c r="P300" s="691"/>
      <c r="Q300" s="436"/>
      <c r="S300" s="374"/>
      <c r="T300" s="525"/>
      <c r="U300" s="487" t="str">
        <f t="shared" ref="U300:V302" si="195">U160</f>
        <v>Fuel cell hybrid vehicle Syn-methanol</v>
      </c>
      <c r="V300" s="375">
        <f t="shared" si="195"/>
        <v>0</v>
      </c>
      <c r="W300" s="694"/>
      <c r="X300" s="61">
        <f>X287</f>
        <v>0.37919999999999998</v>
      </c>
      <c r="Y300" s="347">
        <f>AU30</f>
        <v>0.6</v>
      </c>
      <c r="Z300" s="61"/>
      <c r="AA300" s="61">
        <f>1/AB300</f>
        <v>1.5822784810126582</v>
      </c>
      <c r="AB300" s="61">
        <f>X300/Y300</f>
        <v>0.63200000000000001</v>
      </c>
      <c r="AC300" s="61">
        <f>AB300/$H$286</f>
        <v>0.42211986755775888</v>
      </c>
      <c r="AD300" s="694">
        <f>V300*AB300*$I$286</f>
        <v>0</v>
      </c>
      <c r="AE300" s="720"/>
      <c r="AF300" s="721"/>
      <c r="AG300" s="721"/>
      <c r="AH300" s="722">
        <f>AD300</f>
        <v>0</v>
      </c>
      <c r="AI300" s="721"/>
      <c r="AJ300" s="721"/>
      <c r="AK300" s="721"/>
      <c r="AL300" s="721"/>
      <c r="AM300" s="721"/>
      <c r="AN300" s="721"/>
      <c r="AO300" s="721"/>
      <c r="AP300" s="721"/>
      <c r="AQ300" s="721"/>
      <c r="AR300" s="645">
        <f>V300*T286</f>
        <v>0</v>
      </c>
      <c r="AT300" s="31"/>
      <c r="AU300" s="894"/>
      <c r="AV300" s="894"/>
      <c r="AW300" s="894"/>
      <c r="AX300" s="894"/>
      <c r="AY300" s="894"/>
      <c r="AZ300" s="894"/>
      <c r="BA300" s="894"/>
    </row>
    <row r="301" spans="2:53" ht="15.75" customHeight="1" thickBot="1" x14ac:dyDescent="0.3">
      <c r="C301" s="580"/>
      <c r="D301" s="691"/>
      <c r="E301" s="448"/>
      <c r="F301" s="364"/>
      <c r="G301" s="381"/>
      <c r="H301" s="827"/>
      <c r="I301" s="538"/>
      <c r="J301" s="473"/>
      <c r="K301" s="557"/>
      <c r="L301" s="363"/>
      <c r="M301" s="538"/>
      <c r="N301" s="372"/>
      <c r="O301" s="373"/>
      <c r="P301" s="691"/>
      <c r="Q301" s="436"/>
      <c r="S301" s="374"/>
      <c r="T301" s="525"/>
      <c r="U301" s="487" t="str">
        <f t="shared" si="195"/>
        <v>Plug-in fuel cell hybrid vehicle Electricity &amp; Syn-methanol</v>
      </c>
      <c r="V301" s="375">
        <f t="shared" si="195"/>
        <v>0</v>
      </c>
      <c r="W301" s="694"/>
      <c r="X301" s="61">
        <f>X300</f>
        <v>0.37919999999999998</v>
      </c>
      <c r="Y301" s="347">
        <f>AU31</f>
        <v>0.81861107121816934</v>
      </c>
      <c r="Z301" s="61"/>
      <c r="AA301" s="61">
        <f>1/AB301</f>
        <v>2.15878447051205</v>
      </c>
      <c r="AB301" s="61">
        <f>X301/Y301</f>
        <v>0.46322363981190134</v>
      </c>
      <c r="AC301" s="61">
        <f>AB301/$H$286</f>
        <v>0.3093922491883272</v>
      </c>
      <c r="AD301" s="694">
        <f>V301*AB301*$I$286</f>
        <v>0</v>
      </c>
      <c r="AE301" s="720"/>
      <c r="AF301" s="721"/>
      <c r="AG301" s="721"/>
      <c r="AH301" s="722">
        <f>AD301*$AU$17</f>
        <v>0</v>
      </c>
      <c r="AI301" s="721"/>
      <c r="AJ301" s="721"/>
      <c r="AK301" s="721"/>
      <c r="AL301" s="721"/>
      <c r="AM301" s="721"/>
      <c r="AN301" s="721"/>
      <c r="AO301" s="722">
        <f>AD301*$AV$17</f>
        <v>0</v>
      </c>
      <c r="AP301" s="721"/>
      <c r="AQ301" s="721"/>
      <c r="AR301" s="645">
        <f>V301*T286</f>
        <v>0</v>
      </c>
      <c r="AT301" s="31"/>
      <c r="AU301" s="894"/>
      <c r="AV301" s="894"/>
      <c r="AW301" s="894"/>
      <c r="AX301" s="894"/>
      <c r="AY301" s="894"/>
      <c r="AZ301" s="894"/>
      <c r="BA301" s="894"/>
    </row>
    <row r="302" spans="2:53" ht="15.75" customHeight="1" thickBot="1" x14ac:dyDescent="0.3">
      <c r="C302" s="580"/>
      <c r="D302" s="691"/>
      <c r="E302" s="448"/>
      <c r="F302" s="371"/>
      <c r="G302" s="373"/>
      <c r="H302" s="821"/>
      <c r="I302" s="691"/>
      <c r="J302" s="436"/>
      <c r="K302" s="557"/>
      <c r="L302" s="61"/>
      <c r="M302" s="538"/>
      <c r="N302" s="372"/>
      <c r="O302" s="373"/>
      <c r="P302" s="691"/>
      <c r="Q302" s="436"/>
      <c r="S302" s="374"/>
      <c r="T302" s="525"/>
      <c r="U302" s="487" t="str">
        <f t="shared" si="195"/>
        <v>ICE Biogas</v>
      </c>
      <c r="V302" s="295">
        <f t="shared" si="195"/>
        <v>0</v>
      </c>
      <c r="W302" s="694"/>
      <c r="X302" s="601">
        <v>0.37808217391304355</v>
      </c>
      <c r="Y302" s="347">
        <f>X302/AB302</f>
        <v>0.23500000000000001</v>
      </c>
      <c r="Z302" s="61"/>
      <c r="AA302" s="61">
        <f>1/AB302</f>
        <v>0.62155800038868925</v>
      </c>
      <c r="AB302" s="601">
        <v>1.6088603145235896</v>
      </c>
      <c r="AC302" s="61">
        <f>AB302/$H$286</f>
        <v>1.0745757957051139</v>
      </c>
      <c r="AD302" s="694">
        <f>V302*AB302*$I$286</f>
        <v>0</v>
      </c>
      <c r="AE302" s="720"/>
      <c r="AF302" s="721"/>
      <c r="AG302" s="721"/>
      <c r="AH302" s="721"/>
      <c r="AI302" s="721"/>
      <c r="AJ302" s="721"/>
      <c r="AK302" s="721"/>
      <c r="AL302" s="722">
        <f>AD302</f>
        <v>0</v>
      </c>
      <c r="AM302" s="721"/>
      <c r="AN302" s="721"/>
      <c r="AO302" s="721"/>
      <c r="AP302" s="721"/>
      <c r="AQ302" s="723"/>
      <c r="AR302" s="645">
        <f>V302*T286</f>
        <v>0</v>
      </c>
      <c r="AT302" s="31"/>
      <c r="AU302" s="70"/>
      <c r="AV302" s="70"/>
      <c r="AW302" s="70"/>
      <c r="AX302" s="70"/>
      <c r="AY302" s="70"/>
      <c r="AZ302" s="894"/>
      <c r="BA302" s="894"/>
    </row>
    <row r="303" spans="2:53" ht="15.75" customHeight="1" x14ac:dyDescent="0.25">
      <c r="C303" s="581"/>
      <c r="D303" s="692"/>
      <c r="E303" s="456"/>
      <c r="F303" s="389"/>
      <c r="G303" s="387"/>
      <c r="H303" s="825"/>
      <c r="I303" s="773"/>
      <c r="J303" s="458"/>
      <c r="K303" s="558"/>
      <c r="L303" s="476"/>
      <c r="M303" s="692"/>
      <c r="N303" s="386"/>
      <c r="O303" s="381"/>
      <c r="P303" s="538"/>
      <c r="Q303" s="473"/>
      <c r="S303" s="661"/>
      <c r="T303" s="525"/>
      <c r="U303" s="487" t="str">
        <f>U163</f>
        <v>No shift in technology</v>
      </c>
      <c r="V303" s="357">
        <f>1-SUM(V287:V302)</f>
        <v>1</v>
      </c>
      <c r="W303" s="694">
        <f>AB303*73.5</f>
        <v>141.79587240143019</v>
      </c>
      <c r="X303" s="61">
        <f>(X292*Q288+X288*Q287+Q289*X293+Q290*X291)</f>
        <v>0.36030740353782859</v>
      </c>
      <c r="Y303" s="347">
        <f>X303/AB303</f>
        <v>0.18676562096996055</v>
      </c>
      <c r="Z303" s="61"/>
      <c r="AA303" s="61"/>
      <c r="AB303" s="61">
        <f>L286</f>
        <v>1.9291955428766012</v>
      </c>
      <c r="AC303" s="411">
        <f>K286</f>
        <v>1.2885312769811545</v>
      </c>
      <c r="AD303" s="752">
        <f t="shared" si="193"/>
        <v>102968.99091845901</v>
      </c>
      <c r="AE303" s="728">
        <f>+AD303*Q288</f>
        <v>55942.759300074053</v>
      </c>
      <c r="AF303" s="729">
        <f>AD303*Q287</f>
        <v>41105.514640573543</v>
      </c>
      <c r="AG303" s="730"/>
      <c r="AH303" s="730"/>
      <c r="AI303" s="893"/>
      <c r="AJ303" s="729">
        <f>AD303*Q289</f>
        <v>2960.3584889056965</v>
      </c>
      <c r="AK303" s="729">
        <f>AD303*Q290</f>
        <v>2960.3584889056965</v>
      </c>
      <c r="AL303" s="730"/>
      <c r="AM303" s="730"/>
      <c r="AN303" s="730"/>
      <c r="AO303" s="730"/>
      <c r="AP303" s="730"/>
      <c r="AQ303" s="731"/>
      <c r="AR303" s="645">
        <f>T286-SUM(V287:V302)*T286</f>
        <v>2684987.3309922684</v>
      </c>
      <c r="AT303" s="31"/>
      <c r="AU303" s="70"/>
      <c r="AV303" s="70"/>
      <c r="AW303" s="70"/>
      <c r="AX303" s="70"/>
      <c r="AY303" s="70"/>
      <c r="AZ303" s="70"/>
      <c r="BA303" s="70"/>
    </row>
    <row r="304" spans="2:53" ht="15.75" customHeight="1" thickBot="1" x14ac:dyDescent="0.3">
      <c r="C304" s="582" t="str">
        <f>C164</f>
        <v>Rail</v>
      </c>
      <c r="D304" s="693">
        <f>D308+D305</f>
        <v>8366.4275096792499</v>
      </c>
      <c r="E304" s="392">
        <f>E308+E305</f>
        <v>6.2941892721305098E-2</v>
      </c>
      <c r="F304" s="1319">
        <v>210</v>
      </c>
      <c r="G304" s="1339">
        <f>H304/F304</f>
        <v>0.40676554888757227</v>
      </c>
      <c r="H304" s="1337">
        <f>((H305*D305)+(H308*D308))/(D305+D308)</f>
        <v>85.420765266390177</v>
      </c>
      <c r="I304" s="759">
        <f>I305+I308</f>
        <v>94.163309798308859</v>
      </c>
      <c r="J304" s="797">
        <f>J305+J308</f>
        <v>1.6355449703733286E-3</v>
      </c>
      <c r="K304" s="1338">
        <f>L304/H304</f>
        <v>0.33649857193900273</v>
      </c>
      <c r="L304" s="1319">
        <f>((L305*I305)+(L308*I308))/(I305+I308)</f>
        <v>28.743965526077062</v>
      </c>
      <c r="M304" s="693">
        <f>M308+M305</f>
        <v>2832.693211847838</v>
      </c>
      <c r="N304" s="413">
        <f>N308+N305</f>
        <v>1.8542183626354101E-2</v>
      </c>
      <c r="O304" s="682" t="s">
        <v>60</v>
      </c>
      <c r="P304" s="759">
        <f>SUM(P305:P306)</f>
        <v>2832.693211847838</v>
      </c>
      <c r="Q304" s="801">
        <f>SUM(Q305:Q306)</f>
        <v>1</v>
      </c>
      <c r="R304" s="759">
        <f>SUM(R305:R306)</f>
        <v>8366.4275096792499</v>
      </c>
      <c r="S304" s="797">
        <f>SUM(S305:S306)</f>
        <v>1</v>
      </c>
      <c r="T304" s="680">
        <f>T164*(D304/D164)</f>
        <v>528.20140452946055</v>
      </c>
      <c r="U304" s="488" t="str">
        <f>U164</f>
        <v xml:space="preserve">Sum </v>
      </c>
      <c r="V304" s="396"/>
      <c r="W304" s="761"/>
      <c r="X304" s="395"/>
      <c r="Y304" s="605"/>
      <c r="Z304" s="395"/>
      <c r="AA304" s="395"/>
      <c r="AB304" s="395"/>
      <c r="AC304" s="395"/>
      <c r="AD304" s="753">
        <f>SUM(AD305:AD309)</f>
        <v>2832.693211847838</v>
      </c>
      <c r="AE304" s="725"/>
      <c r="AF304" s="721"/>
      <c r="AG304" s="721"/>
      <c r="AH304" s="721"/>
      <c r="AI304" s="721"/>
      <c r="AJ304" s="721"/>
      <c r="AK304" s="721"/>
      <c r="AL304" s="721"/>
      <c r="AM304" s="721"/>
      <c r="AN304" s="721"/>
      <c r="AO304" s="721"/>
      <c r="AP304" s="721"/>
      <c r="AQ304" s="723"/>
      <c r="AR304" s="646">
        <f>SUM(AR305:AR309)</f>
        <v>528.20140452946055</v>
      </c>
      <c r="AT304" s="36"/>
      <c r="AU304" s="70"/>
      <c r="AV304" s="70"/>
      <c r="AW304" s="70"/>
      <c r="AX304" s="70"/>
      <c r="AY304" s="70"/>
      <c r="AZ304" s="70"/>
      <c r="BA304" s="70"/>
    </row>
    <row r="305" spans="3:53" ht="15.75" customHeight="1" thickBot="1" x14ac:dyDescent="0.3">
      <c r="C305" s="583" t="str">
        <f>C165</f>
        <v>National rail</v>
      </c>
      <c r="D305" s="694">
        <f>SUM(D306:D307)</f>
        <v>7234.3580230579446</v>
      </c>
      <c r="E305" s="549">
        <f>D305/D336</f>
        <v>5.4425163675658611E-2</v>
      </c>
      <c r="F305" s="507">
        <v>210</v>
      </c>
      <c r="G305" s="1318">
        <f>H305/F305</f>
        <v>0.4</v>
      </c>
      <c r="H305" s="827">
        <f>((H306*D306)+(H307*D307))/(D306+D307)</f>
        <v>84</v>
      </c>
      <c r="I305" s="538">
        <f>SUM(I306:I307)</f>
        <v>86.123309798308867</v>
      </c>
      <c r="J305" s="661">
        <f>I305/I336</f>
        <v>1.4958962941536049E-3</v>
      </c>
      <c r="K305" s="363">
        <f>((I306*K306)+(I307*K307))/SUM(I306:I307)</f>
        <v>0.33857142857142858</v>
      </c>
      <c r="L305" s="364">
        <f>((I306*L306)+(I307*L307))/SUM(I306:I307)</f>
        <v>28.440000000000005</v>
      </c>
      <c r="M305" s="694">
        <f>D305*K305</f>
        <v>2449.346930663904</v>
      </c>
      <c r="N305" s="397">
        <f>M305/$M$336</f>
        <v>1.6032883604571758E-2</v>
      </c>
      <c r="O305" s="450" t="s">
        <v>3</v>
      </c>
      <c r="P305" s="532">
        <f>M306</f>
        <v>0</v>
      </c>
      <c r="Q305" s="436">
        <f>P305/SUM(P305:P306)</f>
        <v>0</v>
      </c>
      <c r="R305" s="532">
        <f>D306</f>
        <v>0</v>
      </c>
      <c r="S305" s="367">
        <f>D306/SUM(D305+D308)</f>
        <v>0</v>
      </c>
      <c r="T305" s="677">
        <f>S305*T304</f>
        <v>0</v>
      </c>
      <c r="U305" s="487" t="str">
        <f>U165</f>
        <v>Syn-methanol trains</v>
      </c>
      <c r="V305" s="294">
        <f>V165</f>
        <v>0</v>
      </c>
      <c r="W305" s="694"/>
      <c r="X305" s="58"/>
      <c r="Y305" s="58"/>
      <c r="Z305" s="58"/>
      <c r="AA305" s="58"/>
      <c r="AB305" s="58"/>
      <c r="AC305" s="61">
        <f>K306</f>
        <v>0.75857142857142856</v>
      </c>
      <c r="AD305" s="752">
        <f>V305*(D305+D308)*AC305</f>
        <v>0</v>
      </c>
      <c r="AE305" s="725"/>
      <c r="AF305" s="721"/>
      <c r="AG305" s="721"/>
      <c r="AH305" s="722">
        <f>AD305</f>
        <v>0</v>
      </c>
      <c r="AJ305" s="721"/>
      <c r="AK305" s="721"/>
      <c r="AL305" s="721"/>
      <c r="AM305" s="721"/>
      <c r="AN305" s="721"/>
      <c r="AO305" s="721"/>
      <c r="AP305" s="721"/>
      <c r="AQ305" s="723"/>
      <c r="AR305" s="645">
        <f>V305*T304</f>
        <v>0</v>
      </c>
      <c r="AT305" s="31"/>
      <c r="AU305" s="70"/>
      <c r="AV305" s="70"/>
      <c r="AW305" s="70"/>
      <c r="AX305" s="70"/>
      <c r="AY305" s="70"/>
      <c r="AZ305" s="70"/>
      <c r="BA305" s="70"/>
    </row>
    <row r="306" spans="3:53" ht="15.75" customHeight="1" x14ac:dyDescent="0.25">
      <c r="C306" s="580" t="str">
        <f>C166</f>
        <v>National rail (diesel)</v>
      </c>
      <c r="D306" s="691">
        <f>(D165*0*(1+'Growth, Modal Shift, InfraCosts'!G20)^'Growth, Modal Shift, InfraCosts'!$H$4)</f>
        <v>0</v>
      </c>
      <c r="E306" s="547">
        <f>D306/$D$336</f>
        <v>0</v>
      </c>
      <c r="F306" s="507">
        <v>210</v>
      </c>
      <c r="G306" s="1341">
        <f>G166</f>
        <v>0.4</v>
      </c>
      <c r="H306" s="827">
        <f>G306*F306</f>
        <v>84</v>
      </c>
      <c r="I306" s="538">
        <f>D306/H306</f>
        <v>0</v>
      </c>
      <c r="J306" s="473">
        <f>I306/I336</f>
        <v>0</v>
      </c>
      <c r="K306" s="557">
        <f>L306/H306</f>
        <v>0.75857142857142856</v>
      </c>
      <c r="L306" s="1326">
        <v>63.72</v>
      </c>
      <c r="M306" s="691">
        <f>D306*K306</f>
        <v>0</v>
      </c>
      <c r="N306" s="372">
        <f>M306/$M$336</f>
        <v>0</v>
      </c>
      <c r="O306" s="58" t="s">
        <v>5</v>
      </c>
      <c r="P306" s="694">
        <f>M307+M308</f>
        <v>2832.693211847838</v>
      </c>
      <c r="Q306" s="358">
        <f>P306/SUM(P305:P306)</f>
        <v>1</v>
      </c>
      <c r="R306" s="694">
        <f>D307+D308</f>
        <v>8366.4275096792499</v>
      </c>
      <c r="S306" s="63">
        <f>R306/SUM(D305+D308)</f>
        <v>1</v>
      </c>
      <c r="T306" s="677">
        <f>S306*T304</f>
        <v>528.20140452946055</v>
      </c>
      <c r="U306" s="487" t="str">
        <f>U166</f>
        <v>Electric trains</v>
      </c>
      <c r="V306" s="375">
        <f>V166</f>
        <v>0</v>
      </c>
      <c r="W306" s="694"/>
      <c r="X306" s="58"/>
      <c r="Y306" s="58"/>
      <c r="Z306" s="58"/>
      <c r="AA306" s="58"/>
      <c r="AB306" s="58"/>
      <c r="AC306" s="61">
        <f>K307</f>
        <v>0.33857142857142858</v>
      </c>
      <c r="AD306" s="752">
        <f>V306*($D$305+$D$308)*AC306</f>
        <v>0</v>
      </c>
      <c r="AE306" s="725"/>
      <c r="AF306" s="721"/>
      <c r="AG306" s="721"/>
      <c r="AH306" s="721"/>
      <c r="AI306" s="721"/>
      <c r="AJ306" s="721"/>
      <c r="AK306" s="721"/>
      <c r="AL306" s="721"/>
      <c r="AM306" s="721"/>
      <c r="AN306" s="721"/>
      <c r="AO306" s="721"/>
      <c r="AP306" s="722">
        <f>+AD306</f>
        <v>0</v>
      </c>
      <c r="AQ306" s="723"/>
      <c r="AR306" s="645">
        <f>V306*T304</f>
        <v>0</v>
      </c>
      <c r="AT306" s="31"/>
      <c r="AU306" s="70"/>
      <c r="AV306" s="70"/>
      <c r="AW306" s="70"/>
      <c r="AX306" s="70"/>
      <c r="AY306" s="70"/>
      <c r="AZ306" s="70"/>
      <c r="BA306" s="70"/>
    </row>
    <row r="307" spans="3:53" ht="15.75" customHeight="1" x14ac:dyDescent="0.25">
      <c r="C307" s="580" t="str">
        <f>C167</f>
        <v>National rail (electricity)</v>
      </c>
      <c r="D307" s="691">
        <f>(D165*(1+'Growth, Modal Shift, InfraCosts'!$G$21)^'Growth, Modal Shift, InfraCosts'!$H$4)+'Growth, Modal Shift, InfraCosts'!$S$12*((D156*(1+'Growth, Modal Shift, InfraCosts'!$G$16)^'Growth, Modal Shift, InfraCosts'!$H$4))+'Growth, Modal Shift, InfraCosts'!S8*((D151*'Growth, Modal Shift, InfraCosts'!H11))+('Growth, Modal Shift, InfraCosts'!S16*(D187*'Growth, Modal Shift, InfraCosts'!H36))</f>
        <v>7234.3580230579446</v>
      </c>
      <c r="E307" s="547">
        <f>D307/$D$336</f>
        <v>5.4425163675658611E-2</v>
      </c>
      <c r="F307" s="507">
        <v>210</v>
      </c>
      <c r="G307" s="1340">
        <f>G167</f>
        <v>0.4</v>
      </c>
      <c r="H307" s="827">
        <f>G307*F307</f>
        <v>84</v>
      </c>
      <c r="I307" s="538">
        <f>D307/H307</f>
        <v>86.123309798308867</v>
      </c>
      <c r="J307" s="473">
        <f>I307/I336</f>
        <v>1.4958962941536049E-3</v>
      </c>
      <c r="K307" s="557">
        <f>L307/H307</f>
        <v>0.33857142857142858</v>
      </c>
      <c r="L307" s="1351">
        <v>28.44</v>
      </c>
      <c r="M307" s="691">
        <f>D307*K307</f>
        <v>2449.346930663904</v>
      </c>
      <c r="N307" s="372">
        <f>M307/$M$336</f>
        <v>1.6032883604571758E-2</v>
      </c>
      <c r="T307" s="756"/>
      <c r="U307" s="487" t="str">
        <f>U167</f>
        <v>Diesel trains</v>
      </c>
      <c r="V307" s="375">
        <f>V167</f>
        <v>0</v>
      </c>
      <c r="W307" s="694"/>
      <c r="X307" s="58"/>
      <c r="Y307" s="58"/>
      <c r="Z307" s="58"/>
      <c r="AA307" s="58"/>
      <c r="AB307" s="58"/>
      <c r="AC307" s="61">
        <f>AC305</f>
        <v>0.75857142857142856</v>
      </c>
      <c r="AD307" s="752">
        <f>V307*($D$305+$D$308)*AC307</f>
        <v>0</v>
      </c>
      <c r="AE307" s="725"/>
      <c r="AF307" s="722">
        <f>AD307</f>
        <v>0</v>
      </c>
      <c r="AG307" s="721"/>
      <c r="AH307" s="721"/>
      <c r="AI307" s="721"/>
      <c r="AJ307" s="721"/>
      <c r="AK307" s="721"/>
      <c r="AL307" s="721"/>
      <c r="AM307" s="721"/>
      <c r="AN307" s="721"/>
      <c r="AO307" s="721"/>
      <c r="AP307" s="721"/>
      <c r="AQ307" s="723"/>
      <c r="AR307" s="645">
        <f>V307*T304</f>
        <v>0</v>
      </c>
      <c r="AU307" s="70"/>
      <c r="AV307" s="70"/>
      <c r="AW307" s="70"/>
      <c r="AX307" s="70"/>
      <c r="AY307" s="70"/>
      <c r="AZ307" s="70"/>
      <c r="BA307" s="70"/>
    </row>
    <row r="308" spans="3:53" ht="15.75" customHeight="1" thickBot="1" x14ac:dyDescent="0.3">
      <c r="C308" s="579" t="str">
        <f>C168</f>
        <v>International rail (electricity)</v>
      </c>
      <c r="D308" s="538">
        <f>(D168*(1+'Growth, Modal Shift, InfraCosts'!G22)^'Growth, Modal Shift, InfraCosts'!$H$4)+('Growth, Modal Shift, InfraCosts'!S15*(D189*'Growth, Modal Shift, InfraCosts'!H38))+('Growth, Modal Shift, InfraCosts'!S17*(D157*'Growth, Modal Shift, InfraCosts'!H17))</f>
        <v>1132.0694866213046</v>
      </c>
      <c r="E308" s="547">
        <f>D308/D336</f>
        <v>8.516729045646489E-3</v>
      </c>
      <c r="F308" s="507">
        <v>210</v>
      </c>
      <c r="G308" s="403">
        <f>G168</f>
        <v>0.45</v>
      </c>
      <c r="H308" s="827">
        <f>G308*F308</f>
        <v>94.5</v>
      </c>
      <c r="I308" s="538">
        <v>8.0399999999999991</v>
      </c>
      <c r="J308" s="473">
        <f>I308/I336</f>
        <v>1.3964867621972358E-4</v>
      </c>
      <c r="K308" s="557">
        <f>L308/H308</f>
        <v>0.33862433862433861</v>
      </c>
      <c r="L308" s="402">
        <v>32</v>
      </c>
      <c r="M308" s="538">
        <f>D308*K308</f>
        <v>383.3462811839338</v>
      </c>
      <c r="N308" s="397">
        <f>M308/$M$336</f>
        <v>2.5093000217823419E-3</v>
      </c>
      <c r="T308" s="756"/>
      <c r="U308" s="487" t="s">
        <v>425</v>
      </c>
      <c r="V308" s="295">
        <f>V168</f>
        <v>0</v>
      </c>
      <c r="W308" s="694"/>
      <c r="X308" s="58"/>
      <c r="Y308" s="58"/>
      <c r="Z308" s="58"/>
      <c r="AA308" s="58"/>
      <c r="AB308" s="58"/>
      <c r="AC308" s="61">
        <f>AC307</f>
        <v>0.75857142857142856</v>
      </c>
      <c r="AD308" s="752">
        <f>V308*($D$305+$D$308)*AC308</f>
        <v>0</v>
      </c>
      <c r="AE308" s="725"/>
      <c r="AF308" s="532"/>
      <c r="AG308" s="721"/>
      <c r="AH308" s="721"/>
      <c r="AI308" s="722">
        <f>AD308</f>
        <v>0</v>
      </c>
      <c r="AJ308" s="721"/>
      <c r="AK308" s="721"/>
      <c r="AL308" s="721"/>
      <c r="AM308" s="721"/>
      <c r="AN308" s="721"/>
      <c r="AO308" s="721"/>
      <c r="AP308" s="721"/>
      <c r="AQ308" s="723"/>
      <c r="AR308" s="645">
        <f>V308*T305</f>
        <v>0</v>
      </c>
      <c r="AU308" s="70"/>
      <c r="AV308" s="70"/>
      <c r="AW308" s="70"/>
      <c r="AX308" s="70"/>
      <c r="AY308" s="70"/>
      <c r="AZ308" s="70"/>
      <c r="BA308" s="70"/>
    </row>
    <row r="309" spans="3:53" ht="15.75" x14ac:dyDescent="0.25">
      <c r="C309" s="579"/>
      <c r="D309" s="538"/>
      <c r="E309" s="456"/>
      <c r="F309" s="507"/>
      <c r="G309" s="1352"/>
      <c r="H309" s="1353"/>
      <c r="I309" s="1354"/>
      <c r="J309" s="1355"/>
      <c r="K309" s="658"/>
      <c r="L309" s="507"/>
      <c r="M309" s="532"/>
      <c r="N309" s="397"/>
      <c r="O309" s="556"/>
      <c r="P309" s="532"/>
      <c r="Q309" s="417"/>
      <c r="R309" s="532"/>
      <c r="S309" s="366"/>
      <c r="T309" s="527"/>
      <c r="U309" s="487" t="str">
        <f t="shared" ref="U309:U316" si="196">U169</f>
        <v>No shift in technology</v>
      </c>
      <c r="V309" s="357">
        <f>1-SUM(V305:V308)</f>
        <v>1</v>
      </c>
      <c r="W309" s="694"/>
      <c r="X309" s="58"/>
      <c r="Y309" s="58"/>
      <c r="Z309" s="58"/>
      <c r="AA309" s="58"/>
      <c r="AB309" s="58"/>
      <c r="AC309" s="61">
        <f>((K305*D305)+(D308*K308))/SUM(D305+D308)</f>
        <v>0.33857858788242068</v>
      </c>
      <c r="AD309" s="752">
        <f>V309*($D$305+$D$308)*AC309</f>
        <v>2832.693211847838</v>
      </c>
      <c r="AE309" s="732"/>
      <c r="AF309" s="729">
        <f>+AD309*Q305</f>
        <v>0</v>
      </c>
      <c r="AG309" s="730"/>
      <c r="AH309" s="730"/>
      <c r="AI309" s="730"/>
      <c r="AJ309" s="730"/>
      <c r="AK309" s="730"/>
      <c r="AL309" s="730"/>
      <c r="AM309" s="730"/>
      <c r="AN309" s="730"/>
      <c r="AO309" s="730"/>
      <c r="AP309" s="729">
        <f>AD309*Q306</f>
        <v>2832.693211847838</v>
      </c>
      <c r="AQ309" s="731"/>
      <c r="AR309" s="648">
        <f>T304-SUM(V305:V308)*T304</f>
        <v>528.20140452946055</v>
      </c>
      <c r="AU309" s="70"/>
      <c r="AV309" s="70"/>
      <c r="AW309" s="70"/>
      <c r="AX309" s="70"/>
      <c r="AY309" s="70"/>
      <c r="AZ309" s="70"/>
      <c r="BA309" s="70"/>
    </row>
    <row r="310" spans="3:53" ht="15.75" customHeight="1" thickBot="1" x14ac:dyDescent="0.3">
      <c r="C310" s="582" t="str">
        <f t="shared" ref="C310:C316" si="197">C170</f>
        <v>Bus</v>
      </c>
      <c r="D310" s="693">
        <f>D316+D311</f>
        <v>9571.2215346330649</v>
      </c>
      <c r="E310" s="392">
        <f>E316+E311</f>
        <v>7.200573940881673E-2</v>
      </c>
      <c r="F310" s="1319">
        <f>(I311*F311+I316*F316)/(I311+I316)</f>
        <v>49.542996779802088</v>
      </c>
      <c r="G310" s="1320">
        <f>H310/F310</f>
        <v>0.29818619046604466</v>
      </c>
      <c r="H310" s="1321">
        <f>((H311*I311)+(H316*I316))/(I311+I316)</f>
        <v>14.773037474040704</v>
      </c>
      <c r="I310" s="759">
        <f>I311+I316</f>
        <v>647.88446867827213</v>
      </c>
      <c r="J310" s="797">
        <f>J311+J316</f>
        <v>1.1253259750527322E-2</v>
      </c>
      <c r="K310" s="1324">
        <f t="shared" ref="K310:K316" si="198">L310/H310</f>
        <v>0.82629024197649437</v>
      </c>
      <c r="L310" s="1324">
        <f>((L311*I311)+(L316*I316))/(I311+I316)</f>
        <v>12.206816709152912</v>
      </c>
      <c r="M310" s="693">
        <f>M316+M311</f>
        <v>7908.6069578625884</v>
      </c>
      <c r="N310" s="413">
        <f>N316+N311</f>
        <v>5.1767993027981643E-2</v>
      </c>
      <c r="O310" s="682" t="s">
        <v>60</v>
      </c>
      <c r="P310" s="759">
        <f>SUM(P311+P312)</f>
        <v>7908.6069578625884</v>
      </c>
      <c r="Q310" s="801">
        <f>SUM(Q311+Q312)</f>
        <v>1</v>
      </c>
      <c r="R310" s="759">
        <f>SUM(R311+R312)</f>
        <v>9571.2215346330649</v>
      </c>
      <c r="S310" s="797">
        <f>SUM(S311+S312)</f>
        <v>1</v>
      </c>
      <c r="T310" s="680">
        <f>T170*(D310/D170)</f>
        <v>15251.93228288598</v>
      </c>
      <c r="U310" s="488" t="str">
        <f t="shared" si="196"/>
        <v xml:space="preserve">Sum </v>
      </c>
      <c r="V310" s="396"/>
      <c r="W310" s="762"/>
      <c r="X310" s="625"/>
      <c r="Y310" s="607"/>
      <c r="Z310" s="625"/>
      <c r="AA310" s="625"/>
      <c r="AB310" s="625"/>
      <c r="AC310" s="625"/>
      <c r="AD310" s="753">
        <f>SUM(AD311:AD320)</f>
        <v>7908.6069578625893</v>
      </c>
      <c r="AE310" s="720"/>
      <c r="AF310" s="721"/>
      <c r="AG310" s="721"/>
      <c r="AH310" s="892"/>
      <c r="AI310" s="892"/>
      <c r="AJ310" s="721"/>
      <c r="AK310" s="721"/>
      <c r="AL310" s="721"/>
      <c r="AM310" s="721"/>
      <c r="AN310" s="721"/>
      <c r="AO310" s="721"/>
      <c r="AP310" s="721"/>
      <c r="AQ310" s="723"/>
      <c r="AR310" s="906">
        <f>SUM(AR311:AR320)</f>
        <v>15251.93228288598</v>
      </c>
      <c r="AU310" s="70"/>
      <c r="AV310" s="70"/>
      <c r="AW310" s="70"/>
      <c r="AX310" s="70"/>
      <c r="AY310" s="70"/>
      <c r="AZ310" s="70"/>
      <c r="BA310" s="70"/>
    </row>
    <row r="311" spans="3:53" ht="15.75" customHeight="1" thickBot="1" x14ac:dyDescent="0.3">
      <c r="C311" s="579" t="str">
        <f t="shared" si="197"/>
        <v>National bus</v>
      </c>
      <c r="D311" s="538">
        <f>SUM(D312:D315)</f>
        <v>7621.2353260460968</v>
      </c>
      <c r="E311" s="547">
        <f>D311/D336</f>
        <v>5.7335699824189901E-2</v>
      </c>
      <c r="F311" s="1322">
        <f>((F312*I312)+(F313*I313)+(F314*I314)+(F315*I315))/(I312+I313+I314+I315)</f>
        <v>49.499999999999993</v>
      </c>
      <c r="G311" s="1318">
        <f>H311/F311</f>
        <v>0.26</v>
      </c>
      <c r="H311" s="1323">
        <f>((H312*I312)+(H313*I313)+(H314*I314)+(H315*I315))/(I312+I313+I314+I315)</f>
        <v>12.87</v>
      </c>
      <c r="I311" s="538">
        <f t="shared" ref="I311" si="199">D311/H311</f>
        <v>592.17057700435873</v>
      </c>
      <c r="J311" s="661">
        <f>I311/I336</f>
        <v>1.0285551887428929E-2</v>
      </c>
      <c r="K311" s="363">
        <f t="shared" si="198"/>
        <v>0.91153839740215525</v>
      </c>
      <c r="L311" s="363">
        <f>((L312*I312)+(L313*I313)+(L314*I314)+(L315*I315))/(I312+I313+I314+I315)</f>
        <v>11.731499174565737</v>
      </c>
      <c r="M311" s="538">
        <f>SUM(M312:M315)</f>
        <v>6947.0486353287506</v>
      </c>
      <c r="N311" s="365">
        <f t="shared" ref="N311:N316" si="200">M311/$M$336</f>
        <v>4.5473844791490872E-2</v>
      </c>
      <c r="O311" s="450" t="s">
        <v>3</v>
      </c>
      <c r="P311" s="532">
        <f>Q311*M310</f>
        <v>7453.8620577854899</v>
      </c>
      <c r="Q311" s="436">
        <f>1-Q312</f>
        <v>0.9425</v>
      </c>
      <c r="R311" s="532">
        <f>S311*D310</f>
        <v>9083.2572139087297</v>
      </c>
      <c r="S311" s="367">
        <f>Q311*Z316/(Q311*Z316+Q312*Z313)</f>
        <v>0.94901755027206758</v>
      </c>
      <c r="T311" s="677">
        <f>S311*T310</f>
        <v>14474.351412019916</v>
      </c>
      <c r="U311" s="487" t="str">
        <f t="shared" si="196"/>
        <v>Battery electric busses</v>
      </c>
      <c r="V311" s="1579">
        <f t="shared" ref="V311:V319" si="201">V171</f>
        <v>0</v>
      </c>
      <c r="W311" s="694"/>
      <c r="X311" s="61">
        <v>2.0499999999999998</v>
      </c>
      <c r="Y311" s="347">
        <v>0.92</v>
      </c>
      <c r="Z311" s="61"/>
      <c r="AA311" s="61">
        <f t="shared" ref="AA311:AA316" si="202">1/AB311</f>
        <v>0.44878048780487806</v>
      </c>
      <c r="AB311" s="61">
        <f t="shared" ref="AB311:AB316" si="203">X311/Y311</f>
        <v>2.2282608695652173</v>
      </c>
      <c r="AC311" s="411">
        <f>AB311/(((H311*I311)+(H316*I316))/SUM(I311+I316))</f>
        <v>0.15083295317437154</v>
      </c>
      <c r="AD311" s="748">
        <f>AB311*V311*$I$310</f>
        <v>0</v>
      </c>
      <c r="AE311" s="720"/>
      <c r="AF311" s="721"/>
      <c r="AG311" s="721"/>
      <c r="AH311" s="892"/>
      <c r="AI311" s="892"/>
      <c r="AJ311" s="721"/>
      <c r="AK311" s="721"/>
      <c r="AL311" s="721"/>
      <c r="AM311" s="721"/>
      <c r="AN311" s="721"/>
      <c r="AO311" s="721"/>
      <c r="AP311" s="722">
        <f>+AD311</f>
        <v>0</v>
      </c>
      <c r="AQ311" s="723"/>
      <c r="AR311" s="645">
        <f>V311*T310</f>
        <v>0</v>
      </c>
      <c r="AU311" s="70"/>
      <c r="AV311" s="70"/>
      <c r="AW311" s="70"/>
      <c r="AX311" s="70"/>
      <c r="AY311" s="70"/>
      <c r="AZ311" s="70"/>
      <c r="BA311" s="70"/>
    </row>
    <row r="312" spans="3:53" ht="15.75" customHeight="1" x14ac:dyDescent="0.25">
      <c r="C312" s="580" t="str">
        <f t="shared" si="197"/>
        <v>&lt; 5km</v>
      </c>
      <c r="D312" s="691">
        <f>(D172*((1+'Growth, Modal Shift, InfraCosts'!G25)^'Growth, Modal Shift, InfraCosts'!$H$4))*(1-'Growth, Modal Shift, InfraCosts'!S14)</f>
        <v>782.31265437089837</v>
      </c>
      <c r="E312" s="547">
        <f>D312/$D$336</f>
        <v>5.8854557825267382E-3</v>
      </c>
      <c r="F312" s="364">
        <f>(45+54)/2</f>
        <v>49.5</v>
      </c>
      <c r="G312" s="1348">
        <v>0.26</v>
      </c>
      <c r="H312" s="827">
        <f>G312*F312</f>
        <v>12.870000000000001</v>
      </c>
      <c r="I312" s="538">
        <f t="shared" ref="I312:I316" si="204">D312/H312</f>
        <v>60.785754030372829</v>
      </c>
      <c r="J312" s="473">
        <f>I312/I336</f>
        <v>1.0558022491740416E-3</v>
      </c>
      <c r="K312" s="557">
        <f t="shared" si="198"/>
        <v>0.94859430767054365</v>
      </c>
      <c r="L312" s="1348">
        <f>L32*$AX$7</f>
        <v>12.208408739719898</v>
      </c>
      <c r="M312" s="691">
        <f>D312*K312</f>
        <v>742.09733075486758</v>
      </c>
      <c r="N312" s="372">
        <f t="shared" si="200"/>
        <v>4.8576050939550634E-3</v>
      </c>
      <c r="O312" s="917" t="s">
        <v>74</v>
      </c>
      <c r="P312" s="912">
        <f>Q312*M310</f>
        <v>454.74490007709886</v>
      </c>
      <c r="Q312" s="913">
        <f>Q172</f>
        <v>5.7500000000000002E-2</v>
      </c>
      <c r="R312" s="912">
        <f>S312*D310</f>
        <v>487.96432072433498</v>
      </c>
      <c r="S312" s="914">
        <f>Q312*Z313/(Q311*Z316+Q312*Z313)</f>
        <v>5.0982449727932477E-2</v>
      </c>
      <c r="T312" s="677">
        <f>S312*T310</f>
        <v>777.58087086606497</v>
      </c>
      <c r="U312" s="487" t="str">
        <f t="shared" si="196"/>
        <v>Fuel cell hybrid busses Syn-methanol</v>
      </c>
      <c r="V312" s="1577">
        <f t="shared" si="201"/>
        <v>0</v>
      </c>
      <c r="W312" s="694"/>
      <c r="X312" s="61">
        <f>X311</f>
        <v>2.0499999999999998</v>
      </c>
      <c r="Y312" s="347">
        <f>Y300</f>
        <v>0.6</v>
      </c>
      <c r="Z312" s="61"/>
      <c r="AA312" s="61">
        <f t="shared" si="202"/>
        <v>0.29268292682926833</v>
      </c>
      <c r="AB312" s="61">
        <f t="shared" si="203"/>
        <v>3.4166666666666665</v>
      </c>
      <c r="AC312" s="411">
        <f t="shared" ref="AC312:AC320" si="205">AB312/((($H$311*$I$311)+($H$316*$I$316))/SUM($I$311+$I$316))</f>
        <v>0.23127719486736967</v>
      </c>
      <c r="AD312" s="748">
        <f t="shared" ref="AD312:AD320" si="206">AB312*V312*$I$310</f>
        <v>0</v>
      </c>
      <c r="AE312" s="720"/>
      <c r="AF312" s="721"/>
      <c r="AG312" s="721"/>
      <c r="AH312" s="722">
        <f>AD312</f>
        <v>0</v>
      </c>
      <c r="AI312" s="721"/>
      <c r="AJ312" s="721"/>
      <c r="AK312" s="721"/>
      <c r="AL312" s="721"/>
      <c r="AM312" s="721"/>
      <c r="AN312" s="721"/>
      <c r="AO312" s="721"/>
      <c r="AP312" s="721"/>
      <c r="AR312" s="645">
        <f>V312*T310</f>
        <v>0</v>
      </c>
      <c r="AU312" s="70"/>
      <c r="AV312" s="70"/>
      <c r="AW312" s="70"/>
      <c r="AX312" s="70"/>
      <c r="AY312" s="70"/>
      <c r="AZ312" s="70"/>
      <c r="BA312" s="70"/>
    </row>
    <row r="313" spans="3:53" ht="15.75" customHeight="1" x14ac:dyDescent="0.25">
      <c r="C313" s="580" t="str">
        <f t="shared" si="197"/>
        <v>5-25 km</v>
      </c>
      <c r="D313" s="691">
        <f>(D173*((1+'Growth, Modal Shift, InfraCosts'!G26)^'Growth, Modal Shift, InfraCosts'!$H$4))*(1-'Growth, Modal Shift, InfraCosts'!S14)+'Growth, Modal Shift, InfraCosts'!S9*'Growth, Modal Shift, InfraCosts'!H11*'Scenarios technology'!D151+'Scenarios technology'!D156*'Growth, Modal Shift, InfraCosts'!H16*'Growth, Modal Shift, InfraCosts'!S13</f>
        <v>5125.0201370358009</v>
      </c>
      <c r="E313" s="547">
        <f>D313/$D$336</f>
        <v>3.8556297450332261E-2</v>
      </c>
      <c r="F313" s="364">
        <f>(45+54)/2</f>
        <v>49.5</v>
      </c>
      <c r="G313" s="1350">
        <v>0.26</v>
      </c>
      <c r="H313" s="827">
        <f>G313*F313</f>
        <v>12.870000000000001</v>
      </c>
      <c r="I313" s="538">
        <f t="shared" si="204"/>
        <v>398.21446286214456</v>
      </c>
      <c r="J313" s="473">
        <f>I313/I336</f>
        <v>6.9166819142097982E-3</v>
      </c>
      <c r="K313" s="557">
        <f t="shared" si="198"/>
        <v>0.94859430767054365</v>
      </c>
      <c r="L313" s="1350">
        <f>L33*$AX$7</f>
        <v>12.208408739719898</v>
      </c>
      <c r="M313" s="691">
        <f>D313*K313</f>
        <v>4861.5649286890703</v>
      </c>
      <c r="N313" s="372">
        <f t="shared" si="200"/>
        <v>3.182272942306822E-2</v>
      </c>
      <c r="T313" s="756"/>
      <c r="U313" s="487" t="str">
        <f t="shared" si="196"/>
        <v>ICE Bio-methanol</v>
      </c>
      <c r="V313" s="1577">
        <f t="shared" si="201"/>
        <v>0</v>
      </c>
      <c r="W313" s="694"/>
      <c r="X313" s="61">
        <v>2.0495999999999999</v>
      </c>
      <c r="Y313" s="347">
        <v>0.25</v>
      </c>
      <c r="Z313" s="61">
        <f>1/((AB313/37600)/0.84*1000)</f>
        <v>3.8524590163934427</v>
      </c>
      <c r="AA313" s="61">
        <f t="shared" si="202"/>
        <v>0.12197501951600313</v>
      </c>
      <c r="AB313" s="61">
        <f t="shared" si="203"/>
        <v>8.1983999999999995</v>
      </c>
      <c r="AC313" s="411">
        <f t="shared" si="205"/>
        <v>0.55495696226360292</v>
      </c>
      <c r="AD313" s="748">
        <f t="shared" si="206"/>
        <v>0</v>
      </c>
      <c r="AE313" s="720"/>
      <c r="AF313" s="721"/>
      <c r="AG313" s="721"/>
      <c r="AH313" s="892"/>
      <c r="AI313" s="722">
        <f>+AD313</f>
        <v>0</v>
      </c>
      <c r="AJ313" s="733"/>
      <c r="AK313" s="733"/>
      <c r="AL313" s="733"/>
      <c r="AM313" s="733"/>
      <c r="AN313" s="721"/>
      <c r="AO313" s="721"/>
      <c r="AP313" s="721"/>
      <c r="AQ313" s="723"/>
      <c r="AR313" s="645">
        <f>V313*T310</f>
        <v>0</v>
      </c>
      <c r="AU313" s="70"/>
      <c r="AV313" s="70"/>
      <c r="AW313" s="70"/>
      <c r="AX313" s="70"/>
      <c r="AY313" s="70"/>
      <c r="AZ313" s="70"/>
      <c r="BA313" s="70"/>
    </row>
    <row r="314" spans="3:53" ht="15.75" customHeight="1" x14ac:dyDescent="0.25">
      <c r="C314" s="580" t="str">
        <f t="shared" si="197"/>
        <v>25-50km</v>
      </c>
      <c r="D314" s="691">
        <f>(D174*((1+'Growth, Modal Shift, InfraCosts'!G27)^'Growth, Modal Shift, InfraCosts'!$H$4))*(1-'Growth, Modal Shift, InfraCosts'!S14)</f>
        <v>1118.4703038267292</v>
      </c>
      <c r="E314" s="547">
        <f>D314/$D$336</f>
        <v>8.4144203477508443E-3</v>
      </c>
      <c r="F314" s="364">
        <f>(45+54)/2</f>
        <v>49.5</v>
      </c>
      <c r="G314" s="1350">
        <v>0.26</v>
      </c>
      <c r="H314" s="827">
        <f>G314*F314</f>
        <v>12.870000000000001</v>
      </c>
      <c r="I314" s="538">
        <f t="shared" si="204"/>
        <v>86.905229512566365</v>
      </c>
      <c r="J314" s="473">
        <f>I314/I336</f>
        <v>1.5094776440299936E-3</v>
      </c>
      <c r="K314" s="557">
        <f t="shared" si="198"/>
        <v>0.94859430767054365</v>
      </c>
      <c r="L314" s="1350">
        <f>L34*$AX$7</f>
        <v>12.208408739719898</v>
      </c>
      <c r="M314" s="691">
        <f>D314*K314</f>
        <v>1060.9745635085787</v>
      </c>
      <c r="N314" s="372">
        <f t="shared" si="200"/>
        <v>6.9449049749492281E-3</v>
      </c>
      <c r="T314" s="756"/>
      <c r="U314" s="487" t="str">
        <f t="shared" si="196"/>
        <v>ICE Hybrid Bio-methanol</v>
      </c>
      <c r="V314" s="1577">
        <f t="shared" si="201"/>
        <v>0</v>
      </c>
      <c r="W314" s="694"/>
      <c r="X314" s="61">
        <f>X315</f>
        <v>2.0495999999999999</v>
      </c>
      <c r="Y314" s="347">
        <f>Y295</f>
        <v>0.33345793601053042</v>
      </c>
      <c r="Z314" s="61">
        <f>1/((AB314/37600)/0.84*1000)</f>
        <v>5.1385321286868617</v>
      </c>
      <c r="AA314" s="61">
        <f t="shared" si="202"/>
        <v>0.1626941530106023</v>
      </c>
      <c r="AB314" s="61">
        <f t="shared" si="203"/>
        <v>6.1465023880411547</v>
      </c>
      <c r="AC314" s="411">
        <f t="shared" si="205"/>
        <v>0.41606219430782848</v>
      </c>
      <c r="AD314" s="748">
        <f t="shared" si="206"/>
        <v>0</v>
      </c>
      <c r="AE314" s="720"/>
      <c r="AF314" s="721"/>
      <c r="AG314" s="721"/>
      <c r="AH314" s="892"/>
      <c r="AI314" s="722">
        <f>+AD314</f>
        <v>0</v>
      </c>
      <c r="AJ314" s="721"/>
      <c r="AK314" s="721"/>
      <c r="AL314" s="721"/>
      <c r="AM314" s="721"/>
      <c r="AN314" s="721"/>
      <c r="AO314" s="721"/>
      <c r="AP314" s="721"/>
      <c r="AQ314" s="723"/>
      <c r="AR314" s="645">
        <f>V314*T310</f>
        <v>0</v>
      </c>
      <c r="AT314" s="31"/>
      <c r="AU314" s="70"/>
      <c r="AV314" s="70"/>
      <c r="AW314" s="70"/>
      <c r="AX314" s="70"/>
      <c r="AY314" s="70"/>
      <c r="AZ314" s="70"/>
      <c r="BA314" s="70"/>
    </row>
    <row r="315" spans="3:53" ht="15.75" customHeight="1" x14ac:dyDescent="0.25">
      <c r="C315" s="580" t="str">
        <f t="shared" si="197"/>
        <v>&gt;50 km</v>
      </c>
      <c r="D315" s="691">
        <f>(D175*((1+'Growth, Modal Shift, InfraCosts'!G28)^'Growth, Modal Shift, InfraCosts'!$H$4))*(1-'Growth, Modal Shift, InfraCosts'!S14)</f>
        <v>595.43223081266797</v>
      </c>
      <c r="E315" s="547">
        <f>D315/$D$336</f>
        <v>4.4795262435800556E-3</v>
      </c>
      <c r="F315" s="364">
        <f>(45+54)/2</f>
        <v>49.5</v>
      </c>
      <c r="G315" s="1350">
        <v>0.26</v>
      </c>
      <c r="H315" s="827">
        <f>G315*F315</f>
        <v>12.870000000000001</v>
      </c>
      <c r="I315" s="538">
        <f t="shared" si="204"/>
        <v>46.265130599274897</v>
      </c>
      <c r="J315" s="473">
        <f>I315/I336</f>
        <v>8.0359008001509543E-4</v>
      </c>
      <c r="K315" s="557">
        <f t="shared" si="198"/>
        <v>0.47429715383527182</v>
      </c>
      <c r="L315" s="1350">
        <f>L35*$AX$7</f>
        <v>6.1042043698599491</v>
      </c>
      <c r="M315" s="691">
        <f>D315*K315</f>
        <v>282.41181237623505</v>
      </c>
      <c r="N315" s="372">
        <f t="shared" si="200"/>
        <v>1.8486052995183649E-3</v>
      </c>
      <c r="O315" s="373"/>
      <c r="P315" s="691"/>
      <c r="Q315" s="436"/>
      <c r="R315" s="691"/>
      <c r="S315" s="374"/>
      <c r="T315" s="525"/>
      <c r="U315" s="487" t="str">
        <f t="shared" si="196"/>
        <v>ICE Hybrid Diesel</v>
      </c>
      <c r="V315" s="1577">
        <f t="shared" si="201"/>
        <v>0</v>
      </c>
      <c r="W315" s="694">
        <f>AB315*74</f>
        <v>454.84117671504544</v>
      </c>
      <c r="X315" s="61">
        <f>X316</f>
        <v>2.0495999999999999</v>
      </c>
      <c r="Y315" s="347">
        <f>Y289</f>
        <v>0.33345793601053042</v>
      </c>
      <c r="Z315" s="61">
        <f>1/((AB315/42700)/0.84*1000)</f>
        <v>5.8355138801842843</v>
      </c>
      <c r="AA315" s="61">
        <f t="shared" si="202"/>
        <v>0.1626941530106023</v>
      </c>
      <c r="AB315" s="61">
        <f t="shared" si="203"/>
        <v>6.1465023880411547</v>
      </c>
      <c r="AC315" s="411">
        <f t="shared" si="205"/>
        <v>0.41606219430782848</v>
      </c>
      <c r="AD315" s="748">
        <f t="shared" si="206"/>
        <v>0</v>
      </c>
      <c r="AE315" s="720"/>
      <c r="AF315" s="722">
        <f>AD315</f>
        <v>0</v>
      </c>
      <c r="AG315" s="721"/>
      <c r="AH315" s="892"/>
      <c r="AI315" s="721"/>
      <c r="AJ315" s="721"/>
      <c r="AK315" s="721"/>
      <c r="AL315" s="721"/>
      <c r="AM315" s="721"/>
      <c r="AN315" s="721"/>
      <c r="AO315" s="721"/>
      <c r="AP315" s="721"/>
      <c r="AQ315" s="723"/>
      <c r="AR315" s="645">
        <f>V315*T310</f>
        <v>0</v>
      </c>
      <c r="AU315" s="70"/>
      <c r="AV315" s="70"/>
      <c r="AW315" s="70"/>
      <c r="AX315" s="70"/>
      <c r="AY315" s="70"/>
      <c r="AZ315" s="70"/>
      <c r="BA315" s="70"/>
    </row>
    <row r="316" spans="3:53" ht="15.75" customHeight="1" thickBot="1" x14ac:dyDescent="0.3">
      <c r="C316" s="579" t="str">
        <f t="shared" si="197"/>
        <v>International bus</v>
      </c>
      <c r="D316" s="538">
        <f>(D176*((1+'Growth, Modal Shift, InfraCosts'!G29)^'Growth, Modal Shift, InfraCosts'!$H$4))</f>
        <v>1949.9862085869679</v>
      </c>
      <c r="E316" s="547">
        <f>D316/D336</f>
        <v>1.4670039584626824E-2</v>
      </c>
      <c r="F316" s="55">
        <v>50</v>
      </c>
      <c r="G316" s="379">
        <v>0.7</v>
      </c>
      <c r="H316" s="821">
        <f>G316*F316</f>
        <v>35</v>
      </c>
      <c r="I316" s="694">
        <f t="shared" si="204"/>
        <v>55.713891673913366</v>
      </c>
      <c r="J316" s="358">
        <f>I316/I336</f>
        <v>9.6770786309839337E-4</v>
      </c>
      <c r="K316" s="557">
        <f t="shared" si="198"/>
        <v>0.49311031960098745</v>
      </c>
      <c r="L316" s="379">
        <f>L36*$AX$7</f>
        <v>17.258861186034562</v>
      </c>
      <c r="M316" s="538">
        <f>D316*K316</f>
        <v>961.55832253383755</v>
      </c>
      <c r="N316" s="365">
        <f t="shared" si="200"/>
        <v>6.2941482364907674E-3</v>
      </c>
      <c r="O316" s="373"/>
      <c r="P316" s="691"/>
      <c r="Q316" s="436"/>
      <c r="R316" s="691"/>
      <c r="S316" s="374"/>
      <c r="T316" s="525"/>
      <c r="U316" s="487" t="str">
        <f t="shared" si="196"/>
        <v>ICE Diesel</v>
      </c>
      <c r="V316" s="1577">
        <f t="shared" si="201"/>
        <v>0</v>
      </c>
      <c r="W316" s="694">
        <f>AB316*74</f>
        <v>606.6816</v>
      </c>
      <c r="X316" s="61">
        <v>2.0495999999999999</v>
      </c>
      <c r="Y316" s="347">
        <v>0.25</v>
      </c>
      <c r="Z316" s="61">
        <f>1/((AB316/42700)/0.84*1000)</f>
        <v>4.375</v>
      </c>
      <c r="AA316" s="61">
        <f t="shared" si="202"/>
        <v>0.12197501951600313</v>
      </c>
      <c r="AB316" s="61">
        <f t="shared" si="203"/>
        <v>8.1983999999999995</v>
      </c>
      <c r="AC316" s="411">
        <f t="shared" si="205"/>
        <v>0.55495696226360292</v>
      </c>
      <c r="AD316" s="748">
        <f t="shared" si="206"/>
        <v>0</v>
      </c>
      <c r="AE316" s="720"/>
      <c r="AF316" s="722">
        <f>AD316</f>
        <v>0</v>
      </c>
      <c r="AG316" s="721"/>
      <c r="AH316" s="892"/>
      <c r="AI316" s="733"/>
      <c r="AJ316" s="733"/>
      <c r="AK316" s="733"/>
      <c r="AL316" s="733"/>
      <c r="AM316" s="733"/>
      <c r="AN316" s="721"/>
      <c r="AO316" s="721"/>
      <c r="AP316" s="721"/>
      <c r="AQ316" s="723"/>
      <c r="AR316" s="645">
        <f>V316*T310</f>
        <v>0</v>
      </c>
      <c r="AU316" s="894"/>
      <c r="AV316" s="894"/>
      <c r="AW316" s="894"/>
      <c r="AX316" s="894"/>
      <c r="AY316" s="894"/>
      <c r="AZ316" s="70"/>
      <c r="BA316" s="70"/>
    </row>
    <row r="317" spans="3:53" ht="15.75" customHeight="1" x14ac:dyDescent="0.25">
      <c r="C317" s="579"/>
      <c r="D317" s="538"/>
      <c r="E317" s="547"/>
      <c r="F317" s="55"/>
      <c r="G317" s="363"/>
      <c r="H317" s="821"/>
      <c r="I317" s="694"/>
      <c r="J317" s="358"/>
      <c r="K317" s="557"/>
      <c r="L317" s="363"/>
      <c r="M317" s="538"/>
      <c r="N317" s="365"/>
      <c r="O317" s="373"/>
      <c r="P317" s="691"/>
      <c r="Q317" s="436"/>
      <c r="R317" s="691"/>
      <c r="S317" s="374"/>
      <c r="T317" s="525"/>
      <c r="U317" s="487" t="s">
        <v>483</v>
      </c>
      <c r="V317" s="1577">
        <f t="shared" si="201"/>
        <v>0</v>
      </c>
      <c r="W317" s="694"/>
      <c r="X317" s="61">
        <f t="shared" ref="X317:AC317" si="207">X316</f>
        <v>2.0495999999999999</v>
      </c>
      <c r="Y317" s="362">
        <f t="shared" si="207"/>
        <v>0.25</v>
      </c>
      <c r="Z317" s="61">
        <f t="shared" si="207"/>
        <v>4.375</v>
      </c>
      <c r="AA317" s="61">
        <f t="shared" si="207"/>
        <v>0.12197501951600313</v>
      </c>
      <c r="AB317" s="61">
        <f t="shared" si="207"/>
        <v>8.1983999999999995</v>
      </c>
      <c r="AC317" s="61">
        <f t="shared" si="207"/>
        <v>0.55495696226360292</v>
      </c>
      <c r="AD317" s="748">
        <f>AB317*V317*$I$310</f>
        <v>0</v>
      </c>
      <c r="AE317" s="720"/>
      <c r="AF317" s="721"/>
      <c r="AG317" s="721"/>
      <c r="AH317" s="741"/>
      <c r="AI317" s="733"/>
      <c r="AJ317" s="733"/>
      <c r="AK317" s="738">
        <f>AD317</f>
        <v>0</v>
      </c>
      <c r="AL317" s="733"/>
      <c r="AM317" s="733"/>
      <c r="AN317" s="721"/>
      <c r="AO317" s="721"/>
      <c r="AP317" s="721"/>
      <c r="AQ317" s="723"/>
      <c r="AR317" s="645">
        <f>V317*T310</f>
        <v>0</v>
      </c>
      <c r="AU317" s="1526"/>
      <c r="AV317" s="1526"/>
      <c r="AW317" s="1526"/>
      <c r="AX317" s="1526"/>
      <c r="AY317" s="1526"/>
      <c r="AZ317" s="894"/>
      <c r="BA317" s="894"/>
    </row>
    <row r="318" spans="3:53" ht="15.75" customHeight="1" x14ac:dyDescent="0.25">
      <c r="C318" s="579"/>
      <c r="D318" s="538"/>
      <c r="E318" s="547"/>
      <c r="F318" s="55"/>
      <c r="G318" s="363"/>
      <c r="H318" s="821"/>
      <c r="I318" s="694"/>
      <c r="J318" s="358"/>
      <c r="K318" s="557"/>
      <c r="L318" s="363"/>
      <c r="M318" s="538"/>
      <c r="N318" s="365"/>
      <c r="O318" s="373"/>
      <c r="P318" s="691"/>
      <c r="Q318" s="436"/>
      <c r="R318" s="691"/>
      <c r="S318" s="374"/>
      <c r="T318" s="525"/>
      <c r="U318" s="487" t="str">
        <f>U178</f>
        <v>ICE Syn-methanol</v>
      </c>
      <c r="V318" s="1577">
        <f t="shared" si="201"/>
        <v>0</v>
      </c>
      <c r="W318" s="694"/>
      <c r="X318" s="61">
        <f t="shared" ref="X318:AC318" si="208">X316</f>
        <v>2.0495999999999999</v>
      </c>
      <c r="Y318" s="362">
        <f t="shared" si="208"/>
        <v>0.25</v>
      </c>
      <c r="Z318" s="61">
        <f t="shared" si="208"/>
        <v>4.375</v>
      </c>
      <c r="AA318" s="61">
        <f t="shared" si="208"/>
        <v>0.12197501951600313</v>
      </c>
      <c r="AB318" s="61">
        <f t="shared" si="208"/>
        <v>8.1983999999999995</v>
      </c>
      <c r="AC318" s="61">
        <f t="shared" si="208"/>
        <v>0.55495696226360292</v>
      </c>
      <c r="AD318" s="748">
        <f t="shared" si="206"/>
        <v>0</v>
      </c>
      <c r="AE318" s="720"/>
      <c r="AF318" s="721"/>
      <c r="AG318" s="721"/>
      <c r="AH318" s="722">
        <f>AD318</f>
        <v>0</v>
      </c>
      <c r="AI318" s="733"/>
      <c r="AJ318" s="733"/>
      <c r="AK318" s="733"/>
      <c r="AL318" s="733"/>
      <c r="AM318" s="733"/>
      <c r="AN318" s="721"/>
      <c r="AO318" s="721"/>
      <c r="AP318" s="721"/>
      <c r="AQ318" s="723"/>
      <c r="AR318" s="645">
        <f>V318*T310</f>
        <v>0</v>
      </c>
      <c r="AU318" s="894"/>
      <c r="AV318" s="894"/>
      <c r="AW318" s="894"/>
      <c r="AX318" s="894"/>
      <c r="AY318" s="894"/>
      <c r="AZ318" s="1526"/>
      <c r="BA318" s="1526"/>
    </row>
    <row r="319" spans="3:53" ht="15.75" customHeight="1" thickBot="1" x14ac:dyDescent="0.3">
      <c r="C319" s="579"/>
      <c r="D319" s="538"/>
      <c r="E319" s="547"/>
      <c r="F319" s="55"/>
      <c r="G319" s="363"/>
      <c r="H319" s="821"/>
      <c r="I319" s="694"/>
      <c r="J319" s="358"/>
      <c r="K319" s="557"/>
      <c r="L319" s="363"/>
      <c r="M319" s="538"/>
      <c r="N319" s="365"/>
      <c r="O319" s="373"/>
      <c r="P319" s="691"/>
      <c r="Q319" s="436"/>
      <c r="R319" s="691"/>
      <c r="S319" s="374"/>
      <c r="T319" s="525"/>
      <c r="U319" s="487" t="str">
        <f>U179</f>
        <v>ICE Hybrid Syn-methanol</v>
      </c>
      <c r="V319" s="1578">
        <f t="shared" si="201"/>
        <v>0</v>
      </c>
      <c r="W319" s="694"/>
      <c r="X319" s="61">
        <f t="shared" ref="X319:AC319" si="209">X315</f>
        <v>2.0495999999999999</v>
      </c>
      <c r="Y319" s="362">
        <f t="shared" si="209"/>
        <v>0.33345793601053042</v>
      </c>
      <c r="Z319" s="61">
        <f t="shared" si="209"/>
        <v>5.8355138801842843</v>
      </c>
      <c r="AA319" s="61">
        <f t="shared" si="209"/>
        <v>0.1626941530106023</v>
      </c>
      <c r="AB319" s="61">
        <f t="shared" si="209"/>
        <v>6.1465023880411547</v>
      </c>
      <c r="AC319" s="61">
        <f t="shared" si="209"/>
        <v>0.41606219430782848</v>
      </c>
      <c r="AD319" s="748">
        <f t="shared" si="206"/>
        <v>0</v>
      </c>
      <c r="AE319" s="720"/>
      <c r="AF319" s="721"/>
      <c r="AG319" s="721"/>
      <c r="AH319" s="722">
        <f>AD319</f>
        <v>0</v>
      </c>
      <c r="AI319" s="733"/>
      <c r="AJ319" s="733"/>
      <c r="AK319" s="733"/>
      <c r="AL319" s="733"/>
      <c r="AM319" s="733"/>
      <c r="AN319" s="721"/>
      <c r="AO319" s="721"/>
      <c r="AP319" s="721"/>
      <c r="AQ319" s="723"/>
      <c r="AR319" s="645">
        <f>V319*T310</f>
        <v>0</v>
      </c>
      <c r="AU319" s="70"/>
      <c r="AV319" s="70"/>
      <c r="AW319" s="70"/>
      <c r="AX319" s="70"/>
      <c r="AY319" s="70"/>
      <c r="AZ319" s="894"/>
      <c r="BA319" s="894"/>
    </row>
    <row r="320" spans="3:53" ht="15.75" customHeight="1" x14ac:dyDescent="0.25">
      <c r="C320" s="581"/>
      <c r="D320" s="695"/>
      <c r="E320" s="550"/>
      <c r="F320" s="384"/>
      <c r="G320" s="384"/>
      <c r="H320" s="830"/>
      <c r="I320" s="705"/>
      <c r="J320" s="458"/>
      <c r="K320" s="559"/>
      <c r="L320" s="408"/>
      <c r="M320" s="695"/>
      <c r="N320" s="409"/>
      <c r="O320" s="405"/>
      <c r="P320" s="532"/>
      <c r="Q320" s="417"/>
      <c r="R320" s="532"/>
      <c r="S320" s="366"/>
      <c r="T320" s="527"/>
      <c r="U320" s="487" t="str">
        <f>U180</f>
        <v>No shift in technology / ICE Diesel</v>
      </c>
      <c r="V320" s="412">
        <f>1-SUM(V311:V319)</f>
        <v>1</v>
      </c>
      <c r="W320" s="705">
        <f>AB320*74</f>
        <v>903.30443647731556</v>
      </c>
      <c r="X320" s="406"/>
      <c r="Y320" s="406"/>
      <c r="Z320" s="406"/>
      <c r="AA320" s="406"/>
      <c r="AB320" s="406">
        <f>((I311*L311)+(I316*L316))/SUM(I311+I316)</f>
        <v>12.206816709152912</v>
      </c>
      <c r="AC320" s="406">
        <f t="shared" si="205"/>
        <v>0.82629024197649437</v>
      </c>
      <c r="AD320" s="747">
        <f t="shared" si="206"/>
        <v>7908.6069578625893</v>
      </c>
      <c r="AE320" s="734"/>
      <c r="AF320" s="729">
        <f>+AD320*Q311</f>
        <v>7453.8620577854908</v>
      </c>
      <c r="AG320" s="730"/>
      <c r="AH320" s="730"/>
      <c r="AI320" s="893"/>
      <c r="AJ320" s="735"/>
      <c r="AK320" s="907">
        <f>AD320*Q312</f>
        <v>454.74490007709892</v>
      </c>
      <c r="AL320" s="735"/>
      <c r="AM320" s="735"/>
      <c r="AN320" s="730"/>
      <c r="AO320" s="730"/>
      <c r="AP320" s="730"/>
      <c r="AQ320" s="731"/>
      <c r="AR320" s="648">
        <f>T310-SUM(V311:V319)*T310</f>
        <v>15251.93228288598</v>
      </c>
      <c r="AU320" s="70"/>
      <c r="AV320" s="70"/>
      <c r="AW320" s="70"/>
      <c r="AX320" s="70"/>
      <c r="AY320" s="70"/>
      <c r="AZ320" s="70"/>
      <c r="BA320" s="70"/>
    </row>
    <row r="321" spans="3:53" ht="15.75" customHeight="1" x14ac:dyDescent="0.25">
      <c r="C321" s="582" t="str">
        <f t="shared" ref="C321:C333" si="210">C181</f>
        <v>Bicycle/walking</v>
      </c>
      <c r="D321" s="693">
        <f>SUM(D322:D325)</f>
        <v>3247.9975610926463</v>
      </c>
      <c r="E321" s="392">
        <f>D321/D336</f>
        <v>2.4435174250041585E-2</v>
      </c>
      <c r="F321" s="56">
        <v>1</v>
      </c>
      <c r="G321" s="355">
        <v>1</v>
      </c>
      <c r="H321" s="826">
        <v>1</v>
      </c>
      <c r="I321" s="693">
        <f>D321/H321</f>
        <v>3247.9975610926463</v>
      </c>
      <c r="J321" s="540">
        <f>I321/$I$336</f>
        <v>5.6415243752671505E-2</v>
      </c>
      <c r="K321" s="552">
        <f>K41</f>
        <v>0</v>
      </c>
      <c r="L321" s="352"/>
      <c r="M321" s="693">
        <v>0</v>
      </c>
      <c r="N321" s="413">
        <f>M321/$M$336</f>
        <v>0</v>
      </c>
      <c r="O321" s="682" t="s">
        <v>60</v>
      </c>
      <c r="P321" s="759"/>
      <c r="Q321" s="801"/>
      <c r="R321" s="759">
        <f>SUM(R322)</f>
        <v>3247.9975610926463</v>
      </c>
      <c r="S321" s="797">
        <f>SUM(S322)</f>
        <v>1</v>
      </c>
      <c r="T321" s="680"/>
      <c r="U321" s="67"/>
      <c r="V321" s="410"/>
      <c r="W321" s="532"/>
      <c r="X321" s="405"/>
      <c r="Y321" s="405"/>
      <c r="Z321" s="405"/>
      <c r="AA321" s="405"/>
      <c r="AB321" s="405"/>
      <c r="AC321" s="405"/>
      <c r="AD321" s="751"/>
      <c r="AE321" s="736"/>
      <c r="AF321" s="733"/>
      <c r="AG321" s="721"/>
      <c r="AH321" s="733"/>
      <c r="AI321" s="733"/>
      <c r="AJ321" s="733"/>
      <c r="AK321" s="733"/>
      <c r="AL321" s="733"/>
      <c r="AM321" s="733"/>
      <c r="AN321" s="721"/>
      <c r="AO321" s="721"/>
      <c r="AP321" s="721"/>
      <c r="AQ321" s="723"/>
      <c r="AR321" s="649"/>
      <c r="AU321" s="70"/>
      <c r="AV321" s="70"/>
      <c r="AW321" s="70"/>
      <c r="AX321" s="70"/>
      <c r="AY321" s="70"/>
      <c r="AZ321" s="70"/>
      <c r="BA321" s="70"/>
    </row>
    <row r="322" spans="3:53" ht="15.75" customHeight="1" x14ac:dyDescent="0.25">
      <c r="C322" s="580" t="str">
        <f t="shared" si="210"/>
        <v>&lt; 5km</v>
      </c>
      <c r="D322" s="691">
        <f>(D182*((1+'Growth, Modal Shift, InfraCosts'!G31)^'Growth, Modal Shift, InfraCosts'!$H$4))</f>
        <v>1808.6659086072461</v>
      </c>
      <c r="E322" s="547">
        <f>D322/$D$336</f>
        <v>1.3606865708994054E-2</v>
      </c>
      <c r="F322" s="371">
        <v>1</v>
      </c>
      <c r="G322" s="373">
        <v>1</v>
      </c>
      <c r="H322" s="828">
        <v>1</v>
      </c>
      <c r="I322" s="691">
        <f>D322/H322</f>
        <v>1808.6659086072461</v>
      </c>
      <c r="J322" s="417">
        <f>I322/$I$336</f>
        <v>3.1415149236411137E-2</v>
      </c>
      <c r="K322" s="422">
        <f>K42</f>
        <v>0</v>
      </c>
      <c r="L322" s="369"/>
      <c r="M322" s="691">
        <v>0</v>
      </c>
      <c r="N322" s="372">
        <f>M322/$M$336</f>
        <v>0</v>
      </c>
      <c r="O322" s="450" t="s">
        <v>9</v>
      </c>
      <c r="P322" s="532"/>
      <c r="Q322" s="436"/>
      <c r="R322" s="532">
        <f>D321</f>
        <v>3247.9975610926463</v>
      </c>
      <c r="S322" s="367">
        <v>1</v>
      </c>
      <c r="T322" s="525"/>
      <c r="U322" s="629"/>
      <c r="V322" s="377"/>
      <c r="W322" s="691"/>
      <c r="X322" s="373"/>
      <c r="Y322" s="373"/>
      <c r="Z322" s="373"/>
      <c r="AA322" s="373"/>
      <c r="AB322" s="373"/>
      <c r="AC322" s="373"/>
      <c r="AD322" s="754"/>
      <c r="AE322" s="736"/>
      <c r="AF322" s="733"/>
      <c r="AG322" s="733"/>
      <c r="AH322" s="733"/>
      <c r="AI322" s="733"/>
      <c r="AJ322" s="733"/>
      <c r="AK322" s="733"/>
      <c r="AL322" s="733"/>
      <c r="AM322" s="733"/>
      <c r="AN322" s="721"/>
      <c r="AO322" s="721"/>
      <c r="AP322" s="721"/>
      <c r="AQ322" s="723"/>
      <c r="AR322" s="650"/>
      <c r="AU322" s="70"/>
      <c r="AV322" s="70"/>
      <c r="AW322" s="70"/>
      <c r="AX322" s="70"/>
      <c r="AY322" s="70"/>
      <c r="AZ322" s="70"/>
      <c r="BA322" s="70"/>
    </row>
    <row r="323" spans="3:53" ht="15.75" customHeight="1" x14ac:dyDescent="0.25">
      <c r="C323" s="580" t="str">
        <f t="shared" si="210"/>
        <v>5-25 km</v>
      </c>
      <c r="D323" s="691">
        <f>(D183*((1+'Growth, Modal Shift, InfraCosts'!G32)^'Growth, Modal Shift, InfraCosts'!$H$4))
+'Growth, Modal Shift, InfraCosts'!S10*(D153*'Growth, Modal Shift, InfraCosts'!H13+D154*'Growth, Modal Shift, InfraCosts'!H14)
+'Growth, Modal Shift, InfraCosts'!S6*(D148*'Growth, Modal Shift, InfraCosts'!H8+D149*'Growth, Modal Shift, InfraCosts'!H9)
+'Growth, Modal Shift, InfraCosts'!S7*(D150*'Growth, Modal Shift, InfraCosts'!H10+D151*'Growth, Modal Shift, InfraCosts'!H11)
+'Growth, Modal Shift, InfraCosts'!S11*(D155*'Growth, Modal Shift, InfraCosts'!H15+'Scenarios technology'!D156*'Growth, Modal Shift, InfraCosts'!H16)+'Growth, Modal Shift, InfraCosts'!S14*('Growth, Modal Shift, InfraCosts'!H25*'Scenarios technology'!D172+'Scenarios technology'!D173*'Growth, Modal Shift, InfraCosts'!H26+'Growth, Modal Shift, InfraCosts'!H27*'Scenarios technology'!D174+'Scenarios technology'!D175*'Growth, Modal Shift, InfraCosts'!H28)</f>
        <v>1309.0739245127879</v>
      </c>
      <c r="E323" s="547">
        <f>D323/$D$336</f>
        <v>9.8483600587726382E-3</v>
      </c>
      <c r="F323" s="371">
        <v>1</v>
      </c>
      <c r="G323" s="373">
        <v>1</v>
      </c>
      <c r="H323" s="828">
        <v>1</v>
      </c>
      <c r="I323" s="691">
        <f>D323/H323</f>
        <v>1309.0739245127879</v>
      </c>
      <c r="J323" s="417">
        <f>I323/$I$336</f>
        <v>2.2737616994026023E-2</v>
      </c>
      <c r="K323" s="422">
        <f>K43</f>
        <v>0</v>
      </c>
      <c r="L323" s="369"/>
      <c r="M323" s="691">
        <v>0</v>
      </c>
      <c r="N323" s="372">
        <f>M323/$M$336</f>
        <v>0</v>
      </c>
      <c r="T323" s="525"/>
      <c r="U323" s="629"/>
      <c r="V323" s="377"/>
      <c r="W323" s="691"/>
      <c r="X323" s="373"/>
      <c r="Y323" s="373"/>
      <c r="Z323" s="373"/>
      <c r="AA323" s="373"/>
      <c r="AB323" s="373"/>
      <c r="AC323" s="373"/>
      <c r="AD323" s="754"/>
      <c r="AE323" s="736"/>
      <c r="AF323" s="733"/>
      <c r="AG323" s="733"/>
      <c r="AH323" s="733"/>
      <c r="AI323" s="733"/>
      <c r="AJ323" s="733"/>
      <c r="AK323" s="733"/>
      <c r="AL323" s="733"/>
      <c r="AM323" s="733"/>
      <c r="AN323" s="721"/>
      <c r="AO323" s="721"/>
      <c r="AP323" s="721"/>
      <c r="AQ323" s="723"/>
      <c r="AR323" s="650"/>
      <c r="AU323" s="70"/>
      <c r="AV323" s="70"/>
      <c r="AW323" s="70"/>
      <c r="AX323" s="70"/>
      <c r="AY323" s="70"/>
      <c r="AZ323" s="70"/>
      <c r="BA323" s="70"/>
    </row>
    <row r="324" spans="3:53" ht="15.75" customHeight="1" x14ac:dyDescent="0.25">
      <c r="C324" s="580" t="str">
        <f t="shared" si="210"/>
        <v>25-50km</v>
      </c>
      <c r="D324" s="691">
        <f>(D184*((1+'Growth, Modal Shift, InfraCosts'!G33)^'Growth, Modal Shift, InfraCosts'!$H$4))</f>
        <v>104.92081330462295</v>
      </c>
      <c r="E324" s="547">
        <f>D324/$D$336</f>
        <v>7.8933506178252165E-4</v>
      </c>
      <c r="F324" s="371">
        <v>1</v>
      </c>
      <c r="G324" s="373">
        <v>1</v>
      </c>
      <c r="H324" s="828">
        <v>1</v>
      </c>
      <c r="I324" s="691">
        <f>D324/H324</f>
        <v>104.92081330462295</v>
      </c>
      <c r="J324" s="417">
        <f>I324/$I$336</f>
        <v>1.8223946126725572E-3</v>
      </c>
      <c r="K324" s="422">
        <f>K44</f>
        <v>0</v>
      </c>
      <c r="L324" s="369"/>
      <c r="M324" s="691">
        <v>0</v>
      </c>
      <c r="N324" s="372">
        <f>M324/$M$336</f>
        <v>0</v>
      </c>
      <c r="O324" s="373"/>
      <c r="P324" s="691"/>
      <c r="Q324" s="436"/>
      <c r="R324" s="691"/>
      <c r="S324" s="374"/>
      <c r="T324" s="525"/>
      <c r="U324" s="629"/>
      <c r="V324" s="377"/>
      <c r="W324" s="691"/>
      <c r="X324" s="373"/>
      <c r="Y324" s="373"/>
      <c r="Z324" s="373"/>
      <c r="AA324" s="373"/>
      <c r="AB324" s="373"/>
      <c r="AC324" s="373"/>
      <c r="AD324" s="754"/>
      <c r="AE324" s="736"/>
      <c r="AF324" s="733"/>
      <c r="AG324" s="733"/>
      <c r="AH324" s="733"/>
      <c r="AI324" s="733"/>
      <c r="AJ324" s="733"/>
      <c r="AK324" s="733"/>
      <c r="AL324" s="733"/>
      <c r="AM324" s="733"/>
      <c r="AN324" s="721"/>
      <c r="AO324" s="721"/>
      <c r="AP324" s="721"/>
      <c r="AQ324" s="723"/>
      <c r="AR324" s="650"/>
      <c r="AU324" s="70"/>
      <c r="AV324" s="70"/>
      <c r="AW324" s="70"/>
      <c r="AX324" s="70"/>
      <c r="AY324" s="70"/>
      <c r="AZ324" s="70"/>
      <c r="BA324" s="70"/>
    </row>
    <row r="325" spans="3:53" ht="15.75" customHeight="1" thickBot="1" x14ac:dyDescent="0.3">
      <c r="C325" s="581" t="str">
        <f t="shared" si="210"/>
        <v>&gt;50 km</v>
      </c>
      <c r="D325" s="538">
        <f>(D185*((1+'Growth, Modal Shift, InfraCosts'!G34)^'Growth, Modal Shift, InfraCosts'!$H$4))</f>
        <v>25.33691466798944</v>
      </c>
      <c r="E325" s="548">
        <f>D325/$D$336</f>
        <v>1.906134204923736E-4</v>
      </c>
      <c r="F325" s="364">
        <v>1</v>
      </c>
      <c r="G325" s="665">
        <v>1</v>
      </c>
      <c r="H325" s="1356">
        <v>1</v>
      </c>
      <c r="I325" s="538">
        <f>D325/H325</f>
        <v>25.33691466798944</v>
      </c>
      <c r="J325" s="663">
        <f>I325/$I$336</f>
        <v>4.4008290956179389E-4</v>
      </c>
      <c r="K325" s="557">
        <f>K45</f>
        <v>0</v>
      </c>
      <c r="L325" s="363"/>
      <c r="M325" s="691">
        <v>0</v>
      </c>
      <c r="N325" s="372">
        <f>M325/$M$336</f>
        <v>0</v>
      </c>
      <c r="O325" s="388"/>
      <c r="P325" s="695"/>
      <c r="Q325" s="443"/>
      <c r="R325" s="695"/>
      <c r="S325" s="445"/>
      <c r="T325" s="525"/>
      <c r="U325" s="630"/>
      <c r="V325" s="377"/>
      <c r="W325" s="691"/>
      <c r="X325" s="373"/>
      <c r="Y325" s="373"/>
      <c r="Z325" s="373"/>
      <c r="AA325" s="373"/>
      <c r="AB325" s="373"/>
      <c r="AC325" s="373"/>
      <c r="AD325" s="754"/>
      <c r="AE325" s="737"/>
      <c r="AF325" s="735"/>
      <c r="AG325" s="735"/>
      <c r="AH325" s="735"/>
      <c r="AI325" s="735"/>
      <c r="AJ325" s="735"/>
      <c r="AK325" s="735"/>
      <c r="AL325" s="735"/>
      <c r="AM325" s="735"/>
      <c r="AN325" s="730"/>
      <c r="AO325" s="730"/>
      <c r="AP325" s="730"/>
      <c r="AQ325" s="731"/>
      <c r="AR325" s="650"/>
      <c r="AU325" s="70"/>
      <c r="AV325" s="70"/>
      <c r="AW325" s="70"/>
      <c r="AX325" s="70"/>
      <c r="AY325" s="70"/>
      <c r="AZ325" s="70"/>
      <c r="BA325" s="70"/>
    </row>
    <row r="326" spans="3:53" ht="15.75" customHeight="1" thickBot="1" x14ac:dyDescent="0.3">
      <c r="C326" s="582" t="str">
        <f t="shared" si="210"/>
        <v>Air</v>
      </c>
      <c r="D326" s="759">
        <f>D328+D327</f>
        <v>30719.307624814424</v>
      </c>
      <c r="E326" s="1331">
        <f>E328+E327</f>
        <v>0.23110597238270539</v>
      </c>
      <c r="F326" s="1321">
        <f>((F327*I327)+(F328*I328))/(I327+I328)</f>
        <v>176.78533007620891</v>
      </c>
      <c r="G326" s="1320">
        <f>H326/F326</f>
        <v>0.84023156688112388</v>
      </c>
      <c r="H326" s="822">
        <f>((H327*I327)+(H328*I328))/(I327+I328)</f>
        <v>148.54061489152969</v>
      </c>
      <c r="I326" s="759">
        <f>I328+I327</f>
        <v>206.80746237146587</v>
      </c>
      <c r="J326" s="795">
        <f>J328+J327</f>
        <v>3.5920881035491929E-3</v>
      </c>
      <c r="K326" s="1324">
        <f t="shared" ref="K326:K333" si="211">L326/H326</f>
        <v>1.1826922764282228</v>
      </c>
      <c r="L326" s="1319">
        <f>((L327*I327)+(L328*I328))/(I327+I328)</f>
        <v>175.67783796811122</v>
      </c>
      <c r="M326" s="693">
        <f>M328+M327</f>
        <v>36331.487865090639</v>
      </c>
      <c r="N326" s="413">
        <f>N328+N327</f>
        <v>0.23781788885416127</v>
      </c>
      <c r="O326" s="682" t="s">
        <v>60</v>
      </c>
      <c r="P326" s="759">
        <f>SUM(P327:P328)</f>
        <v>36331.487865090639</v>
      </c>
      <c r="Q326" s="801">
        <f>Q327+Q328</f>
        <v>1</v>
      </c>
      <c r="R326" s="759">
        <f>SUM(R327:R328)</f>
        <v>30719.307624814428</v>
      </c>
      <c r="S326" s="797">
        <f>SUM(S327:S328)</f>
        <v>1</v>
      </c>
      <c r="T326" s="680"/>
      <c r="U326" s="489" t="str">
        <f>U186</f>
        <v xml:space="preserve">Sum </v>
      </c>
      <c r="V326" s="418"/>
      <c r="W326" s="762"/>
      <c r="X326" s="625"/>
      <c r="Y326" s="607"/>
      <c r="Z326" s="625"/>
      <c r="AA326" s="625"/>
      <c r="AB326" s="625"/>
      <c r="AC326" s="625"/>
      <c r="AD326" s="753">
        <f>SUM(AD327:AD329)</f>
        <v>36331.487865090639</v>
      </c>
      <c r="AE326" s="736"/>
      <c r="AF326" s="733"/>
      <c r="AG326" s="733"/>
      <c r="AH326" s="733"/>
      <c r="AI326" s="733"/>
      <c r="AJ326" s="733"/>
      <c r="AK326" s="733"/>
      <c r="AL326" s="733"/>
      <c r="AM326" s="733"/>
      <c r="AN326" s="721"/>
      <c r="AO326" s="721"/>
      <c r="AP326" s="721"/>
      <c r="AQ326" s="723"/>
      <c r="AR326" s="651"/>
      <c r="AU326" s="70"/>
      <c r="AV326" s="70"/>
      <c r="AW326" s="70"/>
      <c r="AX326" s="70"/>
      <c r="AY326" s="70"/>
      <c r="AZ326" s="70"/>
      <c r="BA326" s="70"/>
    </row>
    <row r="327" spans="3:53" ht="15.75" customHeight="1" thickBot="1" x14ac:dyDescent="0.3">
      <c r="C327" s="579" t="str">
        <f t="shared" si="210"/>
        <v>National air</v>
      </c>
      <c r="D327" s="538">
        <f>(D187*((1+'Growth, Modal Shift, InfraCosts'!G36)^'Growth, Modal Shift, InfraCosts'!$H$4))*(1-'Growth, Modal Shift, InfraCosts'!S16)</f>
        <v>857.13371547337283</v>
      </c>
      <c r="E327" s="546">
        <f>D327/D336</f>
        <v>6.4483458805713115E-3</v>
      </c>
      <c r="F327" s="364">
        <v>90</v>
      </c>
      <c r="G327" s="420">
        <v>0.6</v>
      </c>
      <c r="H327" s="823">
        <f>G327*F327</f>
        <v>54</v>
      </c>
      <c r="I327" s="538">
        <f>D327/H327</f>
        <v>15.872846582840237</v>
      </c>
      <c r="J327" s="473">
        <f>I327/I336</f>
        <v>2.7569925536472667E-4</v>
      </c>
      <c r="K327" s="557">
        <f t="shared" si="211"/>
        <v>2.5737116825195079</v>
      </c>
      <c r="L327" s="364">
        <f>L47*AX10</f>
        <v>138.98043085605343</v>
      </c>
      <c r="M327" s="538">
        <f>D327*K327</f>
        <v>2206.0150569951716</v>
      </c>
      <c r="N327" s="365">
        <f>M327/$M$336</f>
        <v>1.4440086945604511E-2</v>
      </c>
      <c r="O327" s="450" t="s">
        <v>4</v>
      </c>
      <c r="P327" s="532">
        <f>Q327*SUM(M327+M328)</f>
        <v>36240.659145427911</v>
      </c>
      <c r="Q327" s="436">
        <v>0.99750000000000005</v>
      </c>
      <c r="R327" s="532">
        <f>S327*SUM(D327:D328)</f>
        <v>30642.509355752391</v>
      </c>
      <c r="S327" s="367">
        <f>Q327</f>
        <v>0.99750000000000005</v>
      </c>
      <c r="T327" s="525"/>
      <c r="U327" s="487" t="str">
        <f>U187</f>
        <v>Gas-turbines Bio-jetfuel</v>
      </c>
      <c r="V327" s="294">
        <f>V187</f>
        <v>0</v>
      </c>
      <c r="W327" s="532"/>
      <c r="X327" s="611"/>
      <c r="Y327" s="611"/>
      <c r="Z327" s="421"/>
      <c r="AA327" s="421">
        <f>1/AB327</f>
        <v>5.6922376297772886E-3</v>
      </c>
      <c r="AB327" s="416">
        <f>AB328</f>
        <v>175.67783796811122</v>
      </c>
      <c r="AC327" s="411">
        <f>AC328</f>
        <v>1.1826922764282231</v>
      </c>
      <c r="AD327" s="748">
        <f>(AC327*V327*D326)</f>
        <v>0</v>
      </c>
      <c r="AE327" s="720"/>
      <c r="AF327" s="733"/>
      <c r="AG327" s="733"/>
      <c r="AH327" s="733"/>
      <c r="AI327" s="733"/>
      <c r="AJ327" s="733"/>
      <c r="AK327" s="733"/>
      <c r="AL327" s="733"/>
      <c r="AM327" s="722">
        <f>AD327</f>
        <v>0</v>
      </c>
      <c r="AN327" s="721"/>
      <c r="AO327" s="721"/>
      <c r="AP327" s="721"/>
      <c r="AQ327" s="723"/>
      <c r="AR327" s="649"/>
      <c r="AU327" s="70"/>
      <c r="AV327" s="70"/>
      <c r="AW327" s="70"/>
      <c r="AX327" s="70"/>
      <c r="AY327" s="70"/>
      <c r="AZ327" s="70"/>
      <c r="BA327" s="70"/>
    </row>
    <row r="328" spans="3:53" ht="15.75" customHeight="1" thickBot="1" x14ac:dyDescent="0.3">
      <c r="C328" s="579" t="str">
        <f t="shared" si="210"/>
        <v>International air</v>
      </c>
      <c r="D328" s="538">
        <f>SUM(D329:D330)</f>
        <v>29862.173909341051</v>
      </c>
      <c r="E328" s="546">
        <f>D328/D336</f>
        <v>0.22465762650213408</v>
      </c>
      <c r="F328" s="364">
        <v>184</v>
      </c>
      <c r="G328" s="381">
        <f>((G329*$D$49)+(G330*$D$50))/($D$49+$D$50)</f>
        <v>0.85</v>
      </c>
      <c r="H328" s="823">
        <f>((H329*I329)+(H330*I330))/(I329+I330)</f>
        <v>156.4</v>
      </c>
      <c r="I328" s="538">
        <f>D328/H328</f>
        <v>190.93461578862565</v>
      </c>
      <c r="J328" s="661">
        <f>I328/I336</f>
        <v>3.3163888481844662E-3</v>
      </c>
      <c r="K328" s="363">
        <f t="shared" si="211"/>
        <v>1.1427658586309697</v>
      </c>
      <c r="L328" s="364">
        <f>((I329*L329)+(I330*L330))/SUM(I329:I330)</f>
        <v>178.72858028988367</v>
      </c>
      <c r="M328" s="538">
        <f>SUM(M329:M330)</f>
        <v>34125.472808095466</v>
      </c>
      <c r="N328" s="365">
        <f>M328/$M$336</f>
        <v>0.22337780190855677</v>
      </c>
      <c r="O328" s="411" t="s">
        <v>44</v>
      </c>
      <c r="P328" s="532">
        <f>Q328*SUM(M327+M328)</f>
        <v>90.828719662726598</v>
      </c>
      <c r="Q328" s="417">
        <v>2.5000000000000001E-3</v>
      </c>
      <c r="R328" s="532">
        <f>S328*SUM(D327:D328)</f>
        <v>76.798269062036056</v>
      </c>
      <c r="S328" s="366">
        <f>Q328</f>
        <v>2.5000000000000001E-3</v>
      </c>
      <c r="T328" s="525"/>
      <c r="U328" s="487" t="str">
        <f>U188</f>
        <v>Gas-turbines Syn-jetfuel</v>
      </c>
      <c r="V328" s="1577">
        <f>V188</f>
        <v>0</v>
      </c>
      <c r="W328" s="532"/>
      <c r="X328" s="612"/>
      <c r="Y328" s="612"/>
      <c r="Z328" s="421"/>
      <c r="AA328" s="421">
        <f>1/AB328</f>
        <v>5.6922376297772886E-3</v>
      </c>
      <c r="AB328" s="416">
        <f>AB329</f>
        <v>175.67783796811122</v>
      </c>
      <c r="AC328" s="411">
        <f>AC329</f>
        <v>1.1826922764282231</v>
      </c>
      <c r="AD328" s="748">
        <f>(AC328*V328*$D$326)</f>
        <v>0</v>
      </c>
      <c r="AE328" s="736"/>
      <c r="AF328" s="733"/>
      <c r="AG328" s="733"/>
      <c r="AH328" s="733"/>
      <c r="AI328" s="733"/>
      <c r="AJ328" s="733"/>
      <c r="AK328" s="733"/>
      <c r="AL328" s="733"/>
      <c r="AM328" s="733"/>
      <c r="AN328" s="721"/>
      <c r="AO328" s="721"/>
      <c r="AP328" s="721"/>
      <c r="AQ328" s="724">
        <f>AD328</f>
        <v>0</v>
      </c>
      <c r="AR328" s="649"/>
      <c r="AU328" s="70"/>
      <c r="AV328" s="70"/>
      <c r="AW328" s="70"/>
      <c r="AX328" s="70"/>
      <c r="AY328" s="70"/>
      <c r="AZ328" s="70"/>
      <c r="BA328" s="70"/>
    </row>
    <row r="329" spans="3:53" ht="15.75" customHeight="1" x14ac:dyDescent="0.25">
      <c r="C329" s="580" t="str">
        <f t="shared" si="210"/>
        <v>International air (1-1000km)</v>
      </c>
      <c r="D329" s="538">
        <f>(D189*((1+'Growth, Modal Shift, InfraCosts'!G38)^'Growth, Modal Shift, InfraCosts'!$H$4))*(1-'Growth, Modal Shift, InfraCosts'!S15)</f>
        <v>7465.5434773352617</v>
      </c>
      <c r="E329" s="546">
        <f>D329/$D$196</f>
        <v>6.8764715214734942E-2</v>
      </c>
      <c r="F329" s="364">
        <v>184</v>
      </c>
      <c r="G329" s="425">
        <v>0.85</v>
      </c>
      <c r="H329" s="823">
        <f>G329*F329</f>
        <v>156.4</v>
      </c>
      <c r="I329" s="538">
        <f>D329/H329</f>
        <v>47.733653947156405</v>
      </c>
      <c r="J329" s="473">
        <f>I329/I336</f>
        <v>8.2909721204611644E-4</v>
      </c>
      <c r="K329" s="557">
        <f t="shared" si="211"/>
        <v>1.4065030844409734</v>
      </c>
      <c r="L329" s="364">
        <f>L49*$AX$10</f>
        <v>219.97708240656826</v>
      </c>
      <c r="M329" s="691">
        <f>D329*K329</f>
        <v>10500.309927900236</v>
      </c>
      <c r="N329" s="372">
        <f>M329/$M$336</f>
        <v>6.8732707799920287E-2</v>
      </c>
      <c r="T329" s="525"/>
      <c r="U329" s="487" t="str">
        <f>U189</f>
        <v>No shift in technology / Jet fossil fuels</v>
      </c>
      <c r="V329" s="887">
        <f>1-SUM(V327:V328)</f>
        <v>1</v>
      </c>
      <c r="W329" s="694">
        <f>AB329*72</f>
        <v>12648.804333704007</v>
      </c>
      <c r="X329" s="61"/>
      <c r="Y329" s="347"/>
      <c r="Z329" s="61"/>
      <c r="AA329" s="382">
        <f>1/AB329</f>
        <v>5.6922376297772886E-3</v>
      </c>
      <c r="AB329" s="55">
        <f>((I327*L327)+(I328*L328))/SUM(I327:I328)</f>
        <v>175.67783796811122</v>
      </c>
      <c r="AC329" s="411">
        <f>((K327*D327)+(K328*D328))/SUM(D327:D328)</f>
        <v>1.1826922764282231</v>
      </c>
      <c r="AD329" s="748">
        <f>(AC329*V329*$D$326)</f>
        <v>36331.487865090639</v>
      </c>
      <c r="AE329" s="720"/>
      <c r="AF329" s="733"/>
      <c r="AG329" s="722">
        <f>+AD329</f>
        <v>36331.487865090639</v>
      </c>
      <c r="AH329" s="733"/>
      <c r="AI329" s="733"/>
      <c r="AJ329" s="721"/>
      <c r="AK329" s="721"/>
      <c r="AL329" s="721"/>
      <c r="AM329" s="721"/>
      <c r="AN329" s="721"/>
      <c r="AO329" s="721"/>
      <c r="AP329" s="721"/>
      <c r="AQ329" s="723"/>
      <c r="AR329" s="647"/>
      <c r="AU329" s="70"/>
      <c r="AV329" s="70"/>
      <c r="AW329" s="70"/>
      <c r="AX329" s="70"/>
      <c r="AY329" s="70"/>
      <c r="AZ329" s="70"/>
      <c r="BA329" s="70"/>
    </row>
    <row r="330" spans="3:53" ht="15.75" customHeight="1" thickBot="1" x14ac:dyDescent="0.3">
      <c r="C330" s="580" t="str">
        <f t="shared" si="210"/>
        <v>International air (&gt;1000km)</v>
      </c>
      <c r="D330" s="538">
        <f>(D190*((1+'Growth, Modal Shift, InfraCosts'!G39)^'Growth, Modal Shift, InfraCosts'!$H$4))</f>
        <v>22396.63043200579</v>
      </c>
      <c r="E330" s="548">
        <f>D330/$D$196</f>
        <v>0.20629414564420487</v>
      </c>
      <c r="F330" s="364">
        <v>184</v>
      </c>
      <c r="G330" s="426">
        <v>0.85</v>
      </c>
      <c r="H330" s="824">
        <f>G330*F330</f>
        <v>156.4</v>
      </c>
      <c r="I330" s="538">
        <f>D330/H330</f>
        <v>143.20096184146925</v>
      </c>
      <c r="J330" s="473">
        <f>I330/I336</f>
        <v>2.4872916361383499E-3</v>
      </c>
      <c r="K330" s="557">
        <f t="shared" si="211"/>
        <v>1.054853450027635</v>
      </c>
      <c r="L330" s="364">
        <f>L50*$AX$10</f>
        <v>164.97907958432211</v>
      </c>
      <c r="M330" s="691">
        <f>D330*K330</f>
        <v>23625.162880195228</v>
      </c>
      <c r="N330" s="372">
        <f>M330/$M$336</f>
        <v>0.15464509410863647</v>
      </c>
      <c r="T330" s="527"/>
      <c r="U330" s="487"/>
      <c r="V330" s="412"/>
      <c r="W330" s="705"/>
      <c r="X330" s="406"/>
      <c r="Y330" s="406"/>
      <c r="Z330" s="406"/>
      <c r="AA330" s="406"/>
      <c r="AB330" s="406"/>
      <c r="AC330" s="406"/>
      <c r="AD330" s="747"/>
      <c r="AE330" s="734"/>
      <c r="AF330" s="735"/>
      <c r="AG330" s="735"/>
      <c r="AH330" s="735"/>
      <c r="AI330" s="735"/>
      <c r="AJ330" s="730"/>
      <c r="AK330" s="730"/>
      <c r="AL330" s="730"/>
      <c r="AM330" s="730"/>
      <c r="AN330" s="730"/>
      <c r="AO330" s="730"/>
      <c r="AP330" s="730"/>
      <c r="AQ330" s="731"/>
      <c r="AR330" s="652"/>
      <c r="AU330" s="70"/>
      <c r="AV330" s="70"/>
      <c r="AW330" s="70"/>
      <c r="AX330" s="70"/>
      <c r="AY330" s="70"/>
      <c r="AZ330" s="70"/>
      <c r="BA330" s="70"/>
    </row>
    <row r="331" spans="3:53" ht="15.75" customHeight="1" thickBot="1" x14ac:dyDescent="0.3">
      <c r="C331" s="582" t="str">
        <f t="shared" si="210"/>
        <v>Sea</v>
      </c>
      <c r="D331" s="759">
        <f>D333+D332</f>
        <v>1106.1758745415855</v>
      </c>
      <c r="E331" s="1331">
        <f>E333+E332</f>
        <v>8.3219275067813962E-3</v>
      </c>
      <c r="F331" s="1319">
        <f>((F332*I332)+(F333*I333))/(I332+I333)</f>
        <v>1214.1832245046662</v>
      </c>
      <c r="G331" s="1320">
        <f>H331/F331</f>
        <v>0.42579265886067624</v>
      </c>
      <c r="H331" s="1321">
        <f>((H332*I332)+(H333*I333))/(I332+I333)</f>
        <v>516.99030350587122</v>
      </c>
      <c r="I331" s="759">
        <f>I333+I332</f>
        <v>2.1396453029007789</v>
      </c>
      <c r="J331" s="801">
        <f>J333+J332</f>
        <v>3.7164009220129772E-5</v>
      </c>
      <c r="K331" s="682">
        <f t="shared" si="211"/>
        <v>2.4665399831969115</v>
      </c>
      <c r="L331" s="1319">
        <f>((L332*I332)+(L333*I333))/(I332+I333)</f>
        <v>1275.1772545223378</v>
      </c>
      <c r="M331" s="693">
        <f>M333+M332</f>
        <v>2728.4270230046309</v>
      </c>
      <c r="N331" s="413">
        <f>N333+N332</f>
        <v>1.7859680201180957E-2</v>
      </c>
      <c r="O331" s="682" t="s">
        <v>60</v>
      </c>
      <c r="P331" s="759">
        <f>SUM(P332)</f>
        <v>2728.4270230046309</v>
      </c>
      <c r="Q331" s="801">
        <f>SUM(Q332)</f>
        <v>1</v>
      </c>
      <c r="R331" s="759">
        <f>SUM(R332)</f>
        <v>1106.1758745415855</v>
      </c>
      <c r="S331" s="797">
        <f>SUM(S332)</f>
        <v>1</v>
      </c>
      <c r="T331" s="680"/>
      <c r="U331" s="488" t="str">
        <f>U191</f>
        <v xml:space="preserve">Sum </v>
      </c>
      <c r="V331" s="396"/>
      <c r="W331" s="761"/>
      <c r="X331" s="395"/>
      <c r="Y331" s="605"/>
      <c r="Z331" s="395"/>
      <c r="AA331" s="395"/>
      <c r="AB331" s="394"/>
      <c r="AC331" s="394"/>
      <c r="AD331" s="1573">
        <f>SUM(AD332:AD335)</f>
        <v>2728.4270230046309</v>
      </c>
      <c r="AE331" s="725"/>
      <c r="AF331" s="733"/>
      <c r="AG331" s="733"/>
      <c r="AH331" s="733"/>
      <c r="AI331" s="733"/>
      <c r="AJ331" s="733"/>
      <c r="AK331" s="733"/>
      <c r="AL331" s="733"/>
      <c r="AM331" s="733"/>
      <c r="AN331" s="721"/>
      <c r="AO331" s="721"/>
      <c r="AP331" s="721"/>
      <c r="AQ331" s="723"/>
      <c r="AR331" s="653"/>
      <c r="AU331" s="70"/>
      <c r="AV331" s="70"/>
      <c r="AW331" s="70"/>
      <c r="AX331" s="70"/>
      <c r="AY331" s="70"/>
      <c r="AZ331" s="70"/>
      <c r="BA331" s="70"/>
    </row>
    <row r="332" spans="3:53" ht="15.75" customHeight="1" x14ac:dyDescent="0.25">
      <c r="C332" s="579" t="str">
        <f t="shared" si="210"/>
        <v>National sea</v>
      </c>
      <c r="D332" s="538">
        <f>(D192*((1+'Growth, Modal Shift, InfraCosts'!G41)^'Growth, Modal Shift, InfraCosts'!H4))</f>
        <v>220.11069635087239</v>
      </c>
      <c r="E332" s="546">
        <f>D332/D336</f>
        <v>1.6559258800127356E-3</v>
      </c>
      <c r="F332" s="364">
        <v>570</v>
      </c>
      <c r="G332" s="425">
        <v>0.35</v>
      </c>
      <c r="H332" s="827">
        <f>G332*F332</f>
        <v>199.5</v>
      </c>
      <c r="I332" s="538">
        <f>D332/H332</f>
        <v>1.1033117611572552</v>
      </c>
      <c r="J332" s="473">
        <f>I332/I336</f>
        <v>1.9163684938216736E-5</v>
      </c>
      <c r="K332" s="557">
        <f t="shared" si="211"/>
        <v>3.6195135418184781</v>
      </c>
      <c r="L332" s="1326">
        <f>L52*AX8</f>
        <v>722.09295159278633</v>
      </c>
      <c r="M332" s="538">
        <f>K332*D332</f>
        <v>796.69364614107769</v>
      </c>
      <c r="N332" s="365">
        <f>M332/$M$336</f>
        <v>5.2149805065056795E-3</v>
      </c>
      <c r="O332" s="450" t="s">
        <v>3</v>
      </c>
      <c r="P332" s="532">
        <f>SUM(M332:M335)</f>
        <v>2728.4270230046309</v>
      </c>
      <c r="Q332" s="436">
        <f>P332/P332</f>
        <v>1</v>
      </c>
      <c r="R332" s="532">
        <f>SUM(D332:D335)</f>
        <v>1106.1758745415855</v>
      </c>
      <c r="S332" s="367">
        <v>1</v>
      </c>
      <c r="T332" s="525"/>
      <c r="U332" s="487" t="str">
        <f>U192</f>
        <v>Bio-methanol</v>
      </c>
      <c r="V332" s="294">
        <f>V192</f>
        <v>0</v>
      </c>
      <c r="W332" s="532"/>
      <c r="X332" s="611"/>
      <c r="Y332" s="611"/>
      <c r="Z332" s="421"/>
      <c r="AA332" s="421"/>
      <c r="AB332" s="416">
        <f t="shared" ref="AB332:AC334" si="212">AB333</f>
        <v>1275.1772545223378</v>
      </c>
      <c r="AC332" s="411">
        <f t="shared" si="212"/>
        <v>2.4665399831969115</v>
      </c>
      <c r="AD332" s="532">
        <f>(V332*AC332*D331)</f>
        <v>0</v>
      </c>
      <c r="AE332" s="720"/>
      <c r="AF332" s="733"/>
      <c r="AG332" s="733"/>
      <c r="AI332" s="738">
        <f>AD332</f>
        <v>0</v>
      </c>
      <c r="AJ332" s="733"/>
      <c r="AK332" s="733"/>
      <c r="AL332" s="733"/>
      <c r="AM332" s="733"/>
      <c r="AN332" s="721"/>
      <c r="AO332" s="721"/>
      <c r="AP332" s="721"/>
      <c r="AQ332" s="723"/>
      <c r="AR332" s="649"/>
      <c r="AU332" s="70"/>
      <c r="AV332" s="70"/>
      <c r="AW332" s="70"/>
      <c r="AX332" s="70"/>
      <c r="AY332" s="70"/>
      <c r="AZ332" s="70"/>
      <c r="BA332" s="70"/>
    </row>
    <row r="333" spans="3:53" ht="15.75" customHeight="1" thickBot="1" x14ac:dyDescent="0.3">
      <c r="C333" s="579" t="str">
        <f t="shared" si="210"/>
        <v>International sea</v>
      </c>
      <c r="D333" s="538">
        <f>(D193*((1+'Growth, Modal Shift, InfraCosts'!G42)^'Growth, Modal Shift, InfraCosts'!H4))</f>
        <v>886.06517819071303</v>
      </c>
      <c r="E333" s="546">
        <f>D333/D336</f>
        <v>6.6660016267686599E-3</v>
      </c>
      <c r="F333" s="364">
        <v>1900</v>
      </c>
      <c r="G333" s="426">
        <v>0.45</v>
      </c>
      <c r="H333" s="827">
        <f>G333*F333</f>
        <v>855</v>
      </c>
      <c r="I333" s="538">
        <f>D333/H333</f>
        <v>1.036333541743524</v>
      </c>
      <c r="J333" s="473">
        <f>I333/I336</f>
        <v>1.8000324281913036E-5</v>
      </c>
      <c r="K333" s="557">
        <f t="shared" si="211"/>
        <v>2.1801255984441528</v>
      </c>
      <c r="L333" s="402">
        <f>L53*AX8</f>
        <v>1864.0073866697508</v>
      </c>
      <c r="M333" s="694">
        <f>K333*D333</f>
        <v>1931.7333768635531</v>
      </c>
      <c r="N333" s="365">
        <f>M333/$M$336</f>
        <v>1.2644699694675278E-2</v>
      </c>
      <c r="T333" s="525"/>
      <c r="U333" s="487" t="str">
        <f>U193</f>
        <v>Gas-turbine biogas</v>
      </c>
      <c r="V333" s="375">
        <f>V193</f>
        <v>0</v>
      </c>
      <c r="W333" s="532"/>
      <c r="X333" s="612"/>
      <c r="Y333" s="612"/>
      <c r="Z333" s="421"/>
      <c r="AA333" s="421"/>
      <c r="AB333" s="416">
        <f t="shared" si="212"/>
        <v>1275.1772545223378</v>
      </c>
      <c r="AC333" s="411">
        <f t="shared" si="212"/>
        <v>2.4665399831969115</v>
      </c>
      <c r="AD333" s="532">
        <f>(V333*AC333*D331)</f>
        <v>0</v>
      </c>
      <c r="AE333" s="720"/>
      <c r="AF333" s="733"/>
      <c r="AG333" s="733"/>
      <c r="AH333" s="721"/>
      <c r="AI333" s="721"/>
      <c r="AJ333" s="721"/>
      <c r="AK333" s="721"/>
      <c r="AL333" s="738">
        <f>AD333</f>
        <v>0</v>
      </c>
      <c r="AM333" s="721"/>
      <c r="AN333" s="721"/>
      <c r="AO333" s="721"/>
      <c r="AP333" s="721"/>
      <c r="AQ333" s="723"/>
      <c r="AR333" s="649"/>
      <c r="AU333" s="894"/>
      <c r="AV333" s="894"/>
      <c r="AW333" s="894"/>
      <c r="AX333" s="894"/>
      <c r="AY333" s="894"/>
      <c r="AZ333" s="70"/>
      <c r="BA333" s="70"/>
    </row>
    <row r="334" spans="3:53" ht="15.75" customHeight="1" thickBot="1" x14ac:dyDescent="0.3">
      <c r="C334" s="580"/>
      <c r="D334" s="691"/>
      <c r="E334" s="547"/>
      <c r="F334" s="371"/>
      <c r="G334" s="373"/>
      <c r="H334" s="828"/>
      <c r="I334" s="691"/>
      <c r="J334" s="417"/>
      <c r="K334" s="422"/>
      <c r="L334" s="369"/>
      <c r="M334" s="691"/>
      <c r="N334" s="372"/>
      <c r="O334" s="373"/>
      <c r="P334" s="691"/>
      <c r="Q334" s="436"/>
      <c r="R334" s="691"/>
      <c r="S334" s="374"/>
      <c r="T334" s="525"/>
      <c r="U334" s="487" t="str">
        <f>U194</f>
        <v>Syn-methanol</v>
      </c>
      <c r="V334" s="1577">
        <f>V194</f>
        <v>0</v>
      </c>
      <c r="W334" s="517"/>
      <c r="AB334" s="416">
        <f t="shared" si="212"/>
        <v>1275.1772545223378</v>
      </c>
      <c r="AC334" s="411">
        <f t="shared" si="212"/>
        <v>2.4665399831969115</v>
      </c>
      <c r="AD334" s="532">
        <f>(V334*AC334*D331)</f>
        <v>0</v>
      </c>
      <c r="AE334" s="720"/>
      <c r="AF334" s="733"/>
      <c r="AG334" s="733"/>
      <c r="AH334" s="738">
        <f>AD334</f>
        <v>0</v>
      </c>
      <c r="AI334" s="721"/>
      <c r="AJ334" s="721"/>
      <c r="AK334" s="721"/>
      <c r="AL334" s="721"/>
      <c r="AM334" s="721"/>
      <c r="AN334" s="721"/>
      <c r="AO334" s="721"/>
      <c r="AP334" s="721"/>
      <c r="AQ334" s="721"/>
      <c r="AR334" s="649"/>
      <c r="AU334" s="70"/>
      <c r="AV334" s="70"/>
      <c r="AW334" s="70"/>
      <c r="AX334" s="70"/>
      <c r="AY334" s="70"/>
      <c r="AZ334" s="894"/>
      <c r="BA334" s="894"/>
    </row>
    <row r="335" spans="3:53" ht="15.75" customHeight="1" thickBot="1" x14ac:dyDescent="0.3">
      <c r="C335" s="584"/>
      <c r="E335" s="815"/>
      <c r="F335" s="57"/>
      <c r="G335" s="4"/>
      <c r="J335" s="417"/>
      <c r="K335" s="544"/>
      <c r="L335" s="4"/>
      <c r="M335" s="532"/>
      <c r="N335" s="353"/>
      <c r="O335" s="405"/>
      <c r="S335" s="445"/>
      <c r="T335" s="525"/>
      <c r="U335" s="487" t="str">
        <f>U195</f>
        <v>No shift in technology /  Diesel</v>
      </c>
      <c r="V335" s="887">
        <f>1-SUM(V332:V334)</f>
        <v>1</v>
      </c>
      <c r="W335" s="538">
        <f>AB335*78</f>
        <v>99463.825852742346</v>
      </c>
      <c r="X335" s="369"/>
      <c r="Y335" s="369"/>
      <c r="Z335" s="613"/>
      <c r="AA335" s="613"/>
      <c r="AB335" s="416">
        <f>((I332*L332)+(I333*L333))/SUM(I332+I333)</f>
        <v>1275.1772545223378</v>
      </c>
      <c r="AC335" s="411">
        <f>((K332*D332)+(K333*D333))/SUM(D332,D333)</f>
        <v>2.4665399831969115</v>
      </c>
      <c r="AD335" s="532">
        <f>(V335*AC335*$D$331)</f>
        <v>2728.4270230046309</v>
      </c>
      <c r="AE335" s="720"/>
      <c r="AF335" s="738">
        <f>AD335</f>
        <v>2728.4270230046309</v>
      </c>
      <c r="AG335" s="721"/>
      <c r="AH335" s="721"/>
      <c r="AI335" s="721"/>
      <c r="AJ335" s="721"/>
      <c r="AK335" s="721"/>
      <c r="AL335" s="721"/>
      <c r="AM335" s="721"/>
      <c r="AN335" s="721"/>
      <c r="AO335" s="721"/>
      <c r="AP335" s="721"/>
      <c r="AQ335" s="723"/>
      <c r="AR335" s="654"/>
      <c r="AU335" s="70"/>
      <c r="AV335" s="70"/>
      <c r="AW335" s="70"/>
      <c r="AX335" s="70"/>
      <c r="AY335" s="70"/>
      <c r="AZ335" s="70"/>
      <c r="BA335" s="70"/>
    </row>
    <row r="336" spans="3:53" ht="15.75" customHeight="1" thickBot="1" x14ac:dyDescent="0.3">
      <c r="C336" s="585" t="str">
        <f>C196</f>
        <v>Total</v>
      </c>
      <c r="D336" s="696">
        <f>SUM(D286+D305+D308+D311+D316+D321+D327+D328+D332+D333)</f>
        <v>132923.03659701213</v>
      </c>
      <c r="E336" s="816">
        <f>SUM(E333+E332+E328+E327+E321+E316+E311+E308+E305+E286)</f>
        <v>1</v>
      </c>
      <c r="F336" s="427"/>
      <c r="G336" s="427"/>
      <c r="H336" s="831"/>
      <c r="I336" s="696">
        <f>SUM(I286+I305+I308+I311+I316+I321+I327+I328+I332+I333)</f>
        <v>57573.048435846555</v>
      </c>
      <c r="J336" s="541">
        <f>SUM(J286+J305+J308+J311+J316+J321+J327+J328+J332+J333)</f>
        <v>1.0000000000000002</v>
      </c>
      <c r="K336" s="429"/>
      <c r="L336" s="427"/>
      <c r="M336" s="696">
        <f>SUM(M287+M292+M297+M305+M308+M311+M316+M321+M327+M328+M332+M333)</f>
        <v>152770.20597626467</v>
      </c>
      <c r="N336" s="428">
        <f>SUM(N286+N305+N308+N311+N316+N321+N327+N328+N332+N333)</f>
        <v>1.0000000000000002</v>
      </c>
      <c r="O336" s="427"/>
      <c r="P336" s="696">
        <f>P286+P304+P310+P326+P331</f>
        <v>152770.2059762647</v>
      </c>
      <c r="Q336" s="541"/>
      <c r="R336" s="696">
        <f>R286+R304+R321+R310+R326+R331</f>
        <v>132923.03659701213</v>
      </c>
      <c r="S336" s="541"/>
      <c r="T336" s="689"/>
      <c r="U336" s="631"/>
      <c r="V336" s="429"/>
      <c r="W336" s="696"/>
      <c r="X336" s="427"/>
      <c r="Y336" s="427"/>
      <c r="Z336" s="427"/>
      <c r="AA336" s="427"/>
      <c r="AB336" s="427"/>
      <c r="AC336" s="427"/>
      <c r="AD336" s="710">
        <f>SUM(AD286+AD304+AD310+AD321+AD326+AD331)</f>
        <v>152770.2059762647</v>
      </c>
      <c r="AE336" s="846">
        <f t="shared" ref="AE336:AQ336" si="213">SUM(AE286:AE335)</f>
        <v>55942.759300074053</v>
      </c>
      <c r="AF336" s="847">
        <f t="shared" si="213"/>
        <v>51287.803721363663</v>
      </c>
      <c r="AG336" s="847">
        <f t="shared" si="213"/>
        <v>36331.487865090639</v>
      </c>
      <c r="AH336" s="847">
        <f t="shared" si="213"/>
        <v>0</v>
      </c>
      <c r="AI336" s="847">
        <f t="shared" si="213"/>
        <v>0</v>
      </c>
      <c r="AJ336" s="847">
        <f t="shared" si="213"/>
        <v>2960.3584889056965</v>
      </c>
      <c r="AK336" s="847">
        <f t="shared" si="213"/>
        <v>3415.1033889827954</v>
      </c>
      <c r="AL336" s="847">
        <f t="shared" si="213"/>
        <v>0</v>
      </c>
      <c r="AM336" s="847">
        <f t="shared" si="213"/>
        <v>0</v>
      </c>
      <c r="AN336" s="847">
        <f t="shared" si="213"/>
        <v>0</v>
      </c>
      <c r="AO336" s="847">
        <f t="shared" si="213"/>
        <v>0</v>
      </c>
      <c r="AP336" s="847">
        <f t="shared" si="213"/>
        <v>2832.693211847838</v>
      </c>
      <c r="AQ336" s="848">
        <f t="shared" si="213"/>
        <v>0</v>
      </c>
      <c r="AR336" s="655"/>
      <c r="AU336" s="70"/>
      <c r="AV336" s="70"/>
      <c r="AW336" s="70"/>
      <c r="AX336" s="70"/>
      <c r="AY336" s="70"/>
      <c r="AZ336" s="70"/>
      <c r="BA336" s="70"/>
    </row>
    <row r="337" spans="2:63" ht="15.75" customHeight="1" thickBot="1" x14ac:dyDescent="0.3">
      <c r="C337" s="5"/>
      <c r="V337" s="4"/>
      <c r="W337" s="532"/>
      <c r="AF337" s="529"/>
      <c r="AG337" s="529"/>
      <c r="AH337" s="532"/>
      <c r="AI337" s="532"/>
      <c r="AJ337" s="532"/>
      <c r="AK337" s="532"/>
      <c r="AL337" s="532"/>
      <c r="AM337" s="532"/>
      <c r="AN337" s="532"/>
      <c r="AO337" s="532"/>
      <c r="AU337" s="327"/>
      <c r="AV337" s="327"/>
      <c r="AW337" s="327"/>
      <c r="AX337" s="327"/>
      <c r="AY337" s="327"/>
      <c r="AZ337" s="70"/>
      <c r="BA337" s="70"/>
    </row>
    <row r="338" spans="2:63" ht="15.75" customHeight="1" thickBot="1" x14ac:dyDescent="0.3">
      <c r="C338" s="5"/>
      <c r="D338" s="1907" t="str">
        <f>$D$3</f>
        <v>Transport demand by mode of transport</v>
      </c>
      <c r="E338" s="1908"/>
      <c r="F338" s="1908"/>
      <c r="G338" s="1908"/>
      <c r="H338" s="1908"/>
      <c r="I338" s="1908"/>
      <c r="J338" s="1909"/>
      <c r="K338" s="1907" t="str">
        <f>$K$3</f>
        <v>Transport-energy demand by mode of tranport</v>
      </c>
      <c r="L338" s="1908"/>
      <c r="M338" s="1908"/>
      <c r="N338" s="1908"/>
      <c r="O338" s="1907" t="str">
        <f>$O$3</f>
        <v>Transport and transport-energy demand by fuel</v>
      </c>
      <c r="P338" s="1908"/>
      <c r="Q338" s="1908"/>
      <c r="R338" s="1908"/>
      <c r="S338" s="1909"/>
      <c r="U338" s="849" t="str">
        <f>$U$3</f>
        <v>Implementation of potential technologies</v>
      </c>
      <c r="V338" s="850"/>
      <c r="W338" s="850"/>
      <c r="X338" s="850"/>
      <c r="Y338" s="850"/>
      <c r="Z338" s="850"/>
      <c r="AA338" s="850"/>
      <c r="AB338" s="850"/>
      <c r="AC338" s="850"/>
      <c r="AD338" s="851"/>
      <c r="AE338" s="1901" t="str">
        <f>$AE$3</f>
        <v>Fuel consumpiton after the new technologies are implemented</v>
      </c>
      <c r="AF338" s="1902"/>
      <c r="AG338" s="1902"/>
      <c r="AH338" s="1902"/>
      <c r="AI338" s="1902"/>
      <c r="AJ338" s="1902"/>
      <c r="AK338" s="1902"/>
      <c r="AL338" s="1902"/>
      <c r="AM338" s="1902"/>
      <c r="AN338" s="1902"/>
      <c r="AO338" s="1902"/>
      <c r="AP338" s="1902"/>
      <c r="AQ338" s="1903"/>
      <c r="AS338" s="48"/>
      <c r="AU338" s="70"/>
      <c r="AV338" s="70"/>
      <c r="AW338" s="70"/>
      <c r="AX338" s="70"/>
      <c r="AY338" s="70"/>
      <c r="AZ338" s="327"/>
      <c r="BA338" s="327"/>
    </row>
    <row r="339" spans="2:63" ht="57" thickBot="1" x14ac:dyDescent="0.3">
      <c r="C339" s="1933" t="str">
        <f>C199</f>
        <v>Freight transport</v>
      </c>
      <c r="D339" s="1904" t="str">
        <f>$D$4</f>
        <v>Transport demand</v>
      </c>
      <c r="E339" s="1905"/>
      <c r="F339" s="326" t="str">
        <f>$F$4</f>
        <v>Capacity</v>
      </c>
      <c r="G339" s="1916" t="str">
        <f>$G$4</f>
        <v>Load factor</v>
      </c>
      <c r="H339" s="1916"/>
      <c r="I339" s="1916" t="str">
        <f>$I$4</f>
        <v>Traffic work</v>
      </c>
      <c r="J339" s="1916"/>
      <c r="K339" s="1928" t="s">
        <v>36</v>
      </c>
      <c r="L339" s="1927"/>
      <c r="M339" s="1916" t="str">
        <f>$M$4</f>
        <v>Energy demand</v>
      </c>
      <c r="N339" s="1920"/>
      <c r="O339" s="1904" t="str">
        <f>$O$4</f>
        <v>Total fuel consumption</v>
      </c>
      <c r="P339" s="1905"/>
      <c r="Q339" s="1905"/>
      <c r="R339" s="1905" t="str">
        <f>$R$4</f>
        <v>Transport demand</v>
      </c>
      <c r="S339" s="1906"/>
      <c r="T339" s="518" t="str">
        <f>$T$4</f>
        <v>No of vehicles</v>
      </c>
      <c r="U339" s="328" t="str">
        <f>$U$4</f>
        <v>Type of technology</v>
      </c>
      <c r="V339" s="927" t="str">
        <f>$V$4</f>
        <v>Share</v>
      </c>
      <c r="W339" s="712" t="str">
        <f>$W$4</f>
        <v>CO2-emissions</v>
      </c>
      <c r="X339" s="328" t="str">
        <f>$X$4</f>
        <v>Specific energy consumption to move the vehicle</v>
      </c>
      <c r="Y339" s="328" t="str">
        <f>$Y$4</f>
        <v>Engine efficiency</v>
      </c>
      <c r="Z339" s="1905" t="str">
        <f>$Z$4</f>
        <v xml:space="preserve">Specific energy consumption </v>
      </c>
      <c r="AA339" s="1905"/>
      <c r="AB339" s="1905"/>
      <c r="AC339" s="328" t="str">
        <f>$AC$4</f>
        <v>Utilization efficiency</v>
      </c>
      <c r="AD339" s="712" t="str">
        <f>$AD$4</f>
        <v>Energy demand</v>
      </c>
      <c r="AE339" s="711" t="str">
        <f>$AE$4</f>
        <v>Petrol</v>
      </c>
      <c r="AF339" s="712" t="str">
        <f>$AF$4</f>
        <v>Diesel</v>
      </c>
      <c r="AG339" s="712" t="str">
        <f>$AG$4</f>
        <v xml:space="preserve">Jet fuel </v>
      </c>
      <c r="AH339" s="712" t="str">
        <f>$AH$4</f>
        <v>Syn-methanol</v>
      </c>
      <c r="AI339" s="712" t="str">
        <f>$AI$4</f>
        <v>Bio-methanol</v>
      </c>
      <c r="AJ339" s="712" t="str">
        <f>$AJ$4</f>
        <v>Bioethanol</v>
      </c>
      <c r="AK339" s="712" t="str">
        <f>$AK$4</f>
        <v>Biodiesel</v>
      </c>
      <c r="AL339" s="712" t="str">
        <f>$AL$4</f>
        <v>Biogas</v>
      </c>
      <c r="AM339" s="712" t="str">
        <f>$AM$4</f>
        <v>Bio-jetfuel</v>
      </c>
      <c r="AN339" s="712" t="str">
        <f>$AN$4</f>
        <v>Electricity BEV</v>
      </c>
      <c r="AO339" s="712" t="str">
        <f>$AO$4</f>
        <v>Electricity Plug-in-hybrid</v>
      </c>
      <c r="AP339" s="712" t="str">
        <f>$AP$4</f>
        <v>Electricity Train / bus</v>
      </c>
      <c r="AQ339" s="656" t="str">
        <f>$AQ$4</f>
        <v>Syn-jetfuel</v>
      </c>
      <c r="AR339" s="518" t="str">
        <f>$AR$4</f>
        <v>No of vehicles</v>
      </c>
      <c r="AU339" s="70"/>
      <c r="AV339" s="70"/>
      <c r="AW339" s="70"/>
      <c r="AX339" s="70"/>
      <c r="AY339" s="70"/>
      <c r="AZ339" s="70"/>
      <c r="BA339" s="70"/>
    </row>
    <row r="340" spans="2:63" ht="16.5" thickBot="1" x14ac:dyDescent="0.3">
      <c r="B340" s="1944">
        <f>B285</f>
        <v>2030</v>
      </c>
      <c r="C340" s="1952"/>
      <c r="D340" s="690" t="str">
        <f t="shared" ref="D340:S340" si="214">D$60</f>
        <v>Mtkm</v>
      </c>
      <c r="E340" s="783" t="str">
        <f t="shared" si="214"/>
        <v>%</v>
      </c>
      <c r="F340" s="348" t="str">
        <f t="shared" si="214"/>
        <v>t/vehicle</v>
      </c>
      <c r="G340" s="349" t="str">
        <f t="shared" si="214"/>
        <v>%</v>
      </c>
      <c r="H340" s="819" t="str">
        <f t="shared" si="214"/>
        <v>t/vehicle</v>
      </c>
      <c r="I340" s="746" t="str">
        <f t="shared" si="214"/>
        <v>Mkm</v>
      </c>
      <c r="J340" s="808" t="str">
        <f t="shared" si="214"/>
        <v>%</v>
      </c>
      <c r="K340" s="350" t="str">
        <f t="shared" si="214"/>
        <v>MJ/tkm</v>
      </c>
      <c r="L340" s="348" t="str">
        <f t="shared" si="214"/>
        <v>MJ/km</v>
      </c>
      <c r="M340" s="690" t="str">
        <f t="shared" si="214"/>
        <v>TJ</v>
      </c>
      <c r="N340" s="784" t="str">
        <f t="shared" si="214"/>
        <v>%</v>
      </c>
      <c r="O340" s="350" t="str">
        <f t="shared" si="214"/>
        <v>Fuel</v>
      </c>
      <c r="P340" s="746" t="str">
        <f t="shared" si="214"/>
        <v>TJ</v>
      </c>
      <c r="Q340" s="808" t="str">
        <f t="shared" si="214"/>
        <v>% TJ</v>
      </c>
      <c r="R340" s="746" t="str">
        <f t="shared" si="214"/>
        <v>Mtkm</v>
      </c>
      <c r="S340" s="794" t="str">
        <f t="shared" si="214"/>
        <v>%</v>
      </c>
      <c r="T340" s="526"/>
      <c r="U340" s="348"/>
      <c r="V340" s="350" t="str">
        <f t="shared" ref="V340:AH340" si="215">V$60</f>
        <v>% of traffic work</v>
      </c>
      <c r="W340" s="746" t="str">
        <f t="shared" si="215"/>
        <v>[g/km]</v>
      </c>
      <c r="X340" s="348" t="str">
        <f t="shared" si="215"/>
        <v>MJ_mech/km</v>
      </c>
      <c r="Y340" s="348" t="str">
        <f t="shared" si="215"/>
        <v xml:space="preserve"> (MJ_mech/MJ)</v>
      </c>
      <c r="Z340" s="349" t="str">
        <f t="shared" si="215"/>
        <v>[km/Liter]</v>
      </c>
      <c r="AA340" s="349" t="str">
        <f t="shared" si="215"/>
        <v>[km/MJ]</v>
      </c>
      <c r="AB340" s="348" t="str">
        <f t="shared" si="215"/>
        <v>[MJ/km]</v>
      </c>
      <c r="AC340" s="349" t="str">
        <f t="shared" si="215"/>
        <v>MJ/tkm</v>
      </c>
      <c r="AD340" s="746" t="str">
        <f t="shared" si="215"/>
        <v>Total TJ</v>
      </c>
      <c r="AE340" s="713" t="str">
        <f t="shared" si="215"/>
        <v>TJ</v>
      </c>
      <c r="AF340" s="714" t="str">
        <f t="shared" si="215"/>
        <v>TJ</v>
      </c>
      <c r="AG340" s="714" t="str">
        <f t="shared" si="215"/>
        <v>TJ</v>
      </c>
      <c r="AH340" s="714" t="str">
        <f t="shared" si="215"/>
        <v>TJ</v>
      </c>
      <c r="AI340" s="714" t="s">
        <v>2</v>
      </c>
      <c r="AJ340" s="714" t="str">
        <f t="shared" ref="AJ340:AQ340" si="216">AJ$60</f>
        <v>TJ</v>
      </c>
      <c r="AK340" s="714" t="str">
        <f t="shared" si="216"/>
        <v>TJ</v>
      </c>
      <c r="AL340" s="714" t="str">
        <f t="shared" si="216"/>
        <v>TJ</v>
      </c>
      <c r="AM340" s="714" t="str">
        <f t="shared" si="216"/>
        <v>TJ</v>
      </c>
      <c r="AN340" s="714" t="str">
        <f t="shared" si="216"/>
        <v>TJ</v>
      </c>
      <c r="AO340" s="714" t="str">
        <f t="shared" si="216"/>
        <v>TJ</v>
      </c>
      <c r="AP340" s="714" t="str">
        <f t="shared" si="216"/>
        <v>TJ</v>
      </c>
      <c r="AQ340" s="715" t="str">
        <f t="shared" si="216"/>
        <v>TJ</v>
      </c>
      <c r="AR340" s="526"/>
      <c r="AU340" s="70"/>
      <c r="AV340" s="70"/>
      <c r="AW340" s="70"/>
      <c r="AX340" s="70"/>
      <c r="AY340" s="70"/>
      <c r="AZ340" s="70"/>
      <c r="BA340" s="70"/>
    </row>
    <row r="341" spans="2:63" ht="15.75" customHeight="1" thickBot="1" x14ac:dyDescent="0.3">
      <c r="B341" s="1945"/>
      <c r="C341" s="578" t="str">
        <f>C201</f>
        <v>National truck</v>
      </c>
      <c r="D341" s="693">
        <f>SUM(D342:D344)</f>
        <v>15458.998244597751</v>
      </c>
      <c r="E341" s="817">
        <f>D341/D421</f>
        <v>0.11701124884159032</v>
      </c>
      <c r="F341" s="1328">
        <f>((F342*I342)+(F343*I343)+(F344*I344))/(I342+I343+I344)</f>
        <v>19.999999999999996</v>
      </c>
      <c r="G341" s="1320">
        <f>H341/F341</f>
        <v>0.42398928565479066</v>
      </c>
      <c r="H341" s="1328">
        <f>((H342*I342)+(H343*I343)+(H344*I344))/(I342+I343+I344)</f>
        <v>8.4797857130958114</v>
      </c>
      <c r="I341" s="759">
        <f>D341/H341</f>
        <v>1823.0411436840377</v>
      </c>
      <c r="J341" s="795">
        <f>J343+J342+J344</f>
        <v>0.11632505053725402</v>
      </c>
      <c r="K341" s="1338">
        <f>L341/H341</f>
        <v>1.7769751261763247</v>
      </c>
      <c r="L341" s="1328">
        <f>((L342*I342)+(L343*I343)+(L344*I344))/(I342+I343+I344)</f>
        <v>15.068368287476625</v>
      </c>
      <c r="M341" s="759">
        <f>D341*K341</f>
        <v>27470.25535625367</v>
      </c>
      <c r="N341" s="413">
        <f>M341/M421</f>
        <v>0.22480048228902894</v>
      </c>
      <c r="O341" s="682" t="s">
        <v>60</v>
      </c>
      <c r="P341" s="759">
        <f>SUM(P342+P343)</f>
        <v>27470.25535625367</v>
      </c>
      <c r="Q341" s="801">
        <f>SUM(Q342+Q343)</f>
        <v>1</v>
      </c>
      <c r="R341" s="759">
        <f>SUM(R342+R343)</f>
        <v>15458.998244597749</v>
      </c>
      <c r="S341" s="797">
        <f>SUM(S342+S343)</f>
        <v>1</v>
      </c>
      <c r="T341" s="781">
        <f>T201*((D341+D353)/(D201+D213))/(1.01^10)</f>
        <v>52598.870294840555</v>
      </c>
      <c r="U341" s="490" t="str">
        <f t="shared" ref="U341:U348" si="217">U201</f>
        <v>Sum</v>
      </c>
      <c r="V341" s="4"/>
      <c r="W341" s="532"/>
      <c r="X341" s="4"/>
      <c r="Y341" s="4"/>
      <c r="Z341" s="4"/>
      <c r="AA341" s="4"/>
      <c r="AB341" s="4"/>
      <c r="AC341" s="4"/>
      <c r="AD341" s="748">
        <f>SUM(AD342:AD352)</f>
        <v>27470.25535625367</v>
      </c>
      <c r="AE341" s="739"/>
      <c r="AF341" s="740"/>
      <c r="AG341" s="740"/>
      <c r="AH341" s="740"/>
      <c r="AI341" s="740"/>
      <c r="AJ341" s="717"/>
      <c r="AK341" s="717"/>
      <c r="AL341" s="717"/>
      <c r="AM341" s="717"/>
      <c r="AN341" s="717"/>
      <c r="AO341" s="717"/>
      <c r="AP341" s="717"/>
      <c r="AQ341" s="717"/>
      <c r="AR341" s="644">
        <f>SUM(AR342:AR352)</f>
        <v>52598.870294840555</v>
      </c>
      <c r="AT341" s="27"/>
      <c r="AU341" s="70"/>
      <c r="AV341" s="70"/>
      <c r="AW341" s="70"/>
      <c r="AX341" s="70"/>
      <c r="AY341" s="70"/>
      <c r="AZ341" s="70"/>
      <c r="BA341" s="70"/>
    </row>
    <row r="342" spans="2:63" ht="15.75" customHeight="1" thickBot="1" x14ac:dyDescent="0.3">
      <c r="B342" s="1945"/>
      <c r="C342" s="580" t="str">
        <f>C202</f>
        <v>&lt;50km</v>
      </c>
      <c r="D342" s="691">
        <f>((D202*(1+'Growth, Modal Shift, InfraCosts'!G48)^'Growth, Modal Shift, InfraCosts'!$H$4))</f>
        <v>1479.1927221485314</v>
      </c>
      <c r="E342" s="448">
        <f>D342/D421</f>
        <v>1.1196209803340646E-2</v>
      </c>
      <c r="F342" s="1334">
        <v>20</v>
      </c>
      <c r="G342" s="881">
        <v>0.376</v>
      </c>
      <c r="H342" s="827">
        <f>G342*F342</f>
        <v>7.52</v>
      </c>
      <c r="I342" s="538">
        <f>D342/H342</f>
        <v>196.70115986017706</v>
      </c>
      <c r="J342" s="473">
        <f>I342/I421</f>
        <v>1.2551155217063641E-2</v>
      </c>
      <c r="K342" s="1342">
        <f>L342/H342</f>
        <v>5.6273943530857915</v>
      </c>
      <c r="L342" s="1343">
        <f>L62*$AX$6</f>
        <v>42.318005535205153</v>
      </c>
      <c r="M342" s="538">
        <f>D342*K342</f>
        <v>8324.0007717442459</v>
      </c>
      <c r="N342" s="372">
        <f>M342/M421</f>
        <v>6.8118747488685558E-2</v>
      </c>
      <c r="O342" s="450" t="s">
        <v>3</v>
      </c>
      <c r="P342" s="532">
        <f>Q342*M341</f>
        <v>25890.715673269086</v>
      </c>
      <c r="Q342" s="436">
        <f>1-Q343</f>
        <v>0.9425</v>
      </c>
      <c r="R342" s="532">
        <f>S342*D341</f>
        <v>14670.860643748349</v>
      </c>
      <c r="S342" s="367">
        <f>Q342*Z348/(Q342*Z348+Q343*Z345)</f>
        <v>0.94901755027206747</v>
      </c>
      <c r="T342" s="525">
        <f>S342*T341</f>
        <v>49917.251034287801</v>
      </c>
      <c r="U342" s="487" t="str">
        <f t="shared" si="217"/>
        <v>Fuel cell hybrid truck Syn-methanol</v>
      </c>
      <c r="V342" s="1579">
        <f>V202</f>
        <v>0</v>
      </c>
      <c r="W342" s="532"/>
      <c r="X342" s="616"/>
      <c r="Y342" s="347">
        <f>Y300</f>
        <v>0.6</v>
      </c>
      <c r="Z342" s="411"/>
      <c r="AA342" s="615">
        <f t="shared" ref="AA342:AA348" si="218">1/AB342</f>
        <v>0.15800996733874625</v>
      </c>
      <c r="AB342" s="616">
        <f>AB202*AB352/AB212</f>
        <v>6.3287146807401813</v>
      </c>
      <c r="AC342" s="432">
        <f>AB342/H341</f>
        <v>0.74632955299405623</v>
      </c>
      <c r="AD342" s="748">
        <f>AC342*V342*$D$341</f>
        <v>0</v>
      </c>
      <c r="AE342" s="720"/>
      <c r="AF342" s="733"/>
      <c r="AG342" s="733"/>
      <c r="AH342" s="722">
        <f>AD342</f>
        <v>0</v>
      </c>
      <c r="AI342" s="733"/>
      <c r="AJ342" s="721"/>
      <c r="AK342" s="721"/>
      <c r="AL342" s="721"/>
      <c r="AM342" s="721"/>
      <c r="AN342" s="721"/>
      <c r="AO342" s="721"/>
      <c r="AP342" s="721"/>
      <c r="AR342" s="645">
        <f>V342*T341</f>
        <v>0</v>
      </c>
      <c r="AU342" s="70"/>
      <c r="AV342" s="70"/>
      <c r="AW342" s="70"/>
      <c r="AX342" s="70"/>
      <c r="AY342" s="70"/>
      <c r="AZ342" s="70"/>
      <c r="BA342" s="70"/>
      <c r="BB342" s="48"/>
      <c r="BC342" s="48"/>
      <c r="BD342" s="48"/>
      <c r="BE342" s="48"/>
      <c r="BF342" s="48"/>
      <c r="BG342" s="48"/>
      <c r="BH342" s="48"/>
      <c r="BI342" s="48"/>
      <c r="BJ342" s="48"/>
      <c r="BK342" s="48"/>
    </row>
    <row r="343" spans="2:63" ht="15.75" customHeight="1" thickBot="1" x14ac:dyDescent="0.3">
      <c r="B343" s="1945"/>
      <c r="C343" s="580" t="str">
        <f>C203</f>
        <v>50-200km</v>
      </c>
      <c r="D343" s="691">
        <f>((D203*(1+'Growth, Modal Shift, InfraCosts'!G49)^'Growth, Modal Shift, InfraCosts'!$H$4))*(1-'Growth, Modal Shift, InfraCosts'!S51)</f>
        <v>5540.87042785011</v>
      </c>
      <c r="E343" s="448">
        <f>D343/D421</f>
        <v>4.1939597778190216E-2</v>
      </c>
      <c r="F343" s="1334">
        <v>20</v>
      </c>
      <c r="G343" s="882">
        <v>0.42499999999999999</v>
      </c>
      <c r="H343" s="827">
        <f>G343*F343</f>
        <v>8.5</v>
      </c>
      <c r="I343" s="538">
        <f>D343/H343</f>
        <v>651.86710915883646</v>
      </c>
      <c r="J343" s="473">
        <f>I343/I421</f>
        <v>4.1594494276327547E-2</v>
      </c>
      <c r="K343" s="1342">
        <f>L343/H343</f>
        <v>2.0910073323277838</v>
      </c>
      <c r="L343" s="1344">
        <f>L63*$AX$6</f>
        <v>17.773562324786162</v>
      </c>
      <c r="M343" s="538">
        <f>D343*K343</f>
        <v>11586.000692112764</v>
      </c>
      <c r="N343" s="372">
        <f>M343/M421</f>
        <v>9.4813044495235935E-2</v>
      </c>
      <c r="O343" s="917" t="s">
        <v>74</v>
      </c>
      <c r="P343" s="912">
        <f>Q343*M341</f>
        <v>1579.5396829845861</v>
      </c>
      <c r="Q343" s="913">
        <f>Q203</f>
        <v>5.7500000000000002E-2</v>
      </c>
      <c r="R343" s="912">
        <f>S343*D341</f>
        <v>788.13760084940122</v>
      </c>
      <c r="S343" s="914">
        <f>Q343*Z345/(Q342*Z348+Q343*Z345)</f>
        <v>5.0982449727932477E-2</v>
      </c>
      <c r="T343" s="520">
        <f>S343*T341</f>
        <v>2681.6192605527494</v>
      </c>
      <c r="U343" s="487" t="str">
        <f t="shared" si="217"/>
        <v>ICE Biogas</v>
      </c>
      <c r="V343" s="1577">
        <f t="shared" ref="V343:V349" si="219">V203</f>
        <v>0</v>
      </c>
      <c r="W343" s="532"/>
      <c r="X343" s="616"/>
      <c r="Y343" s="902">
        <v>0.24</v>
      </c>
      <c r="Z343" s="411"/>
      <c r="AA343" s="615">
        <f t="shared" si="218"/>
        <v>6.3709618830982473E-2</v>
      </c>
      <c r="AB343" s="61">
        <f>AB352*Y352/Y343</f>
        <v>15.696216966121485</v>
      </c>
      <c r="AC343" s="432">
        <f>AB343/H341</f>
        <v>1.8510157564336716</v>
      </c>
      <c r="AD343" s="748">
        <f t="shared" ref="AD343:AD351" si="220">AC343*V343*$D$341</f>
        <v>0</v>
      </c>
      <c r="AE343" s="720"/>
      <c r="AF343" s="733"/>
      <c r="AG343" s="733"/>
      <c r="AH343" s="892"/>
      <c r="AI343" s="733"/>
      <c r="AJ343" s="741"/>
      <c r="AK343" s="741"/>
      <c r="AL343" s="722">
        <f>AD343</f>
        <v>0</v>
      </c>
      <c r="AM343" s="721"/>
      <c r="AN343" s="721"/>
      <c r="AO343" s="721"/>
      <c r="AP343" s="721"/>
      <c r="AQ343" s="721"/>
      <c r="AR343" s="645">
        <f>V343*T341</f>
        <v>0</v>
      </c>
      <c r="AU343" s="70"/>
      <c r="AV343" s="70"/>
      <c r="AW343" s="70"/>
      <c r="AX343" s="70"/>
      <c r="AY343" s="70"/>
      <c r="AZ343" s="70"/>
      <c r="BA343" s="70"/>
    </row>
    <row r="344" spans="2:63" ht="15.75" customHeight="1" thickBot="1" x14ac:dyDescent="0.3">
      <c r="B344" s="1946"/>
      <c r="C344" s="580" t="str">
        <f>C204</f>
        <v>&gt;200km</v>
      </c>
      <c r="D344" s="691">
        <f>((D204*(1+'Growth, Modal Shift, InfraCosts'!G50)^'Growth, Modal Shift, InfraCosts'!$H$4))*(1-'Growth, Modal Shift, InfraCosts'!S52)</f>
        <v>8438.93509459911</v>
      </c>
      <c r="E344" s="448">
        <f>D344/D421</f>
        <v>6.3875441260059465E-2</v>
      </c>
      <c r="F344" s="1334">
        <v>20</v>
      </c>
      <c r="G344" s="883">
        <v>0.433</v>
      </c>
      <c r="H344" s="827">
        <f>G344*F344</f>
        <v>8.66</v>
      </c>
      <c r="I344" s="538">
        <f>D344/H344</f>
        <v>974.47287466502428</v>
      </c>
      <c r="J344" s="473">
        <f>I344/I421</f>
        <v>6.2179401043862832E-2</v>
      </c>
      <c r="K344" s="1342">
        <f>L344/H344</f>
        <v>0.8958777153334424</v>
      </c>
      <c r="L344" s="1345">
        <f>L64*$AX$6</f>
        <v>7.7583010147876115</v>
      </c>
      <c r="M344" s="538">
        <f>D344*K344</f>
        <v>7560.2538923966586</v>
      </c>
      <c r="N344" s="372">
        <f>M344/M421</f>
        <v>6.1868690305107436E-2</v>
      </c>
      <c r="T344" s="524"/>
      <c r="U344" s="487" t="str">
        <f t="shared" si="217"/>
        <v>ICE hybrid vehicle Biogas</v>
      </c>
      <c r="V344" s="1577">
        <f t="shared" si="219"/>
        <v>0</v>
      </c>
      <c r="W344" s="532"/>
      <c r="X344" s="616"/>
      <c r="Y344" s="1631">
        <f>Y343*(Y206/Y205)</f>
        <v>0.35028529839419631</v>
      </c>
      <c r="Z344" s="411"/>
      <c r="AA344" s="615">
        <f t="shared" si="218"/>
        <v>9.2985595178296687E-2</v>
      </c>
      <c r="AB344" s="61">
        <f>AB352*Y352/Y344</f>
        <v>10.754353919900543</v>
      </c>
      <c r="AC344" s="432">
        <f>AB344/H341</f>
        <v>1.2682341610698944</v>
      </c>
      <c r="AD344" s="748">
        <f t="shared" si="220"/>
        <v>0</v>
      </c>
      <c r="AE344" s="720"/>
      <c r="AF344" s="733"/>
      <c r="AG344" s="733"/>
      <c r="AH344" s="892"/>
      <c r="AI344" s="733"/>
      <c r="AJ344" s="741"/>
      <c r="AK344" s="741"/>
      <c r="AL344" s="722">
        <f>AD344</f>
        <v>0</v>
      </c>
      <c r="AM344" s="721"/>
      <c r="AN344" s="721"/>
      <c r="AO344" s="721"/>
      <c r="AP344" s="721"/>
      <c r="AQ344" s="721"/>
      <c r="AR344" s="645">
        <f>V344*T341</f>
        <v>0</v>
      </c>
      <c r="AU344" s="70"/>
      <c r="AV344" s="70"/>
      <c r="AW344" s="70"/>
      <c r="AX344" s="70"/>
      <c r="AY344" s="70"/>
      <c r="AZ344" s="70"/>
      <c r="BA344" s="70"/>
    </row>
    <row r="345" spans="2:63" ht="15.75" customHeight="1" x14ac:dyDescent="0.25">
      <c r="C345" s="580"/>
      <c r="D345" s="691"/>
      <c r="E345" s="448"/>
      <c r="F345" s="1334"/>
      <c r="G345" s="1318"/>
      <c r="H345" s="827"/>
      <c r="I345" s="538"/>
      <c r="J345" s="473"/>
      <c r="K345" s="1342"/>
      <c r="L345" s="1334"/>
      <c r="M345" s="538"/>
      <c r="N345" s="372"/>
      <c r="T345" s="524"/>
      <c r="U345" s="487" t="str">
        <f t="shared" si="217"/>
        <v>ICE Bio-methanol</v>
      </c>
      <c r="V345" s="1577">
        <f t="shared" si="219"/>
        <v>0</v>
      </c>
      <c r="W345" s="694"/>
      <c r="X345" s="616"/>
      <c r="Y345" s="1631">
        <f>Y348</f>
        <v>0.25</v>
      </c>
      <c r="Z345" s="61">
        <f>1/((AB345/37600)/0.84*1000)</f>
        <v>2.0960464595393238</v>
      </c>
      <c r="AA345" s="615">
        <f t="shared" si="218"/>
        <v>6.6364186282273419E-2</v>
      </c>
      <c r="AB345" s="61">
        <f>AB352</f>
        <v>15.068368287476625</v>
      </c>
      <c r="AC345" s="432">
        <f>AB345/H341</f>
        <v>1.7769751261763247</v>
      </c>
      <c r="AD345" s="748">
        <f t="shared" si="220"/>
        <v>0</v>
      </c>
      <c r="AE345" s="720"/>
      <c r="AF345" s="733"/>
      <c r="AG345" s="733"/>
      <c r="AH345" s="892"/>
      <c r="AI345" s="722">
        <f>+AD345</f>
        <v>0</v>
      </c>
      <c r="AJ345" s="721"/>
      <c r="AK345" s="721"/>
      <c r="AL345" s="721"/>
      <c r="AM345" s="721"/>
      <c r="AN345" s="721"/>
      <c r="AO345" s="721"/>
      <c r="AP345" s="721"/>
      <c r="AQ345" s="721"/>
      <c r="AR345" s="645">
        <f>V345*T341</f>
        <v>0</v>
      </c>
      <c r="AU345" s="70"/>
      <c r="AV345" s="70"/>
      <c r="AW345" s="70"/>
      <c r="AX345" s="70"/>
      <c r="AY345" s="70"/>
      <c r="AZ345" s="70"/>
      <c r="BA345" s="70"/>
    </row>
    <row r="346" spans="2:63" ht="15.75" customHeight="1" x14ac:dyDescent="0.25">
      <c r="C346" s="580"/>
      <c r="D346" s="691"/>
      <c r="E346" s="448"/>
      <c r="F346" s="1334"/>
      <c r="G346" s="1318"/>
      <c r="H346" s="827"/>
      <c r="I346" s="538"/>
      <c r="J346" s="473"/>
      <c r="K346" s="1342"/>
      <c r="L346" s="1334"/>
      <c r="M346" s="538"/>
      <c r="N346" s="372"/>
      <c r="O346" s="435"/>
      <c r="P346" s="691"/>
      <c r="Q346" s="436"/>
      <c r="S346" s="374"/>
      <c r="T346" s="521"/>
      <c r="U346" s="487" t="str">
        <f t="shared" si="217"/>
        <v>ICE hybrid vehicle Bio-methanol</v>
      </c>
      <c r="V346" s="1577">
        <f t="shared" si="219"/>
        <v>0</v>
      </c>
      <c r="W346" s="694"/>
      <c r="X346" s="616"/>
      <c r="Y346" s="1631">
        <f>Y345*(Y206/Y205)</f>
        <v>0.36488051916062114</v>
      </c>
      <c r="Z346" s="61">
        <f>1/((AB346/37600)/0.84*1000)</f>
        <v>3.0592260813659604</v>
      </c>
      <c r="AA346" s="615">
        <f t="shared" si="218"/>
        <v>9.685999497739238E-2</v>
      </c>
      <c r="AB346" s="61">
        <f>AB352*Y352/Y346</f>
        <v>10.324179763104521</v>
      </c>
      <c r="AC346" s="432">
        <f>AB346/H341</f>
        <v>1.2175047946270987</v>
      </c>
      <c r="AD346" s="748">
        <f t="shared" si="220"/>
        <v>0</v>
      </c>
      <c r="AE346" s="720"/>
      <c r="AF346" s="733"/>
      <c r="AG346" s="733"/>
      <c r="AH346" s="892"/>
      <c r="AI346" s="722">
        <f>+AD346</f>
        <v>0</v>
      </c>
      <c r="AJ346" s="721"/>
      <c r="AK346" s="721"/>
      <c r="AL346" s="721"/>
      <c r="AM346" s="721"/>
      <c r="AN346" s="721"/>
      <c r="AO346" s="721"/>
      <c r="AP346" s="721"/>
      <c r="AQ346" s="721"/>
      <c r="AR346" s="645">
        <f>V346*T341</f>
        <v>0</v>
      </c>
      <c r="AU346" s="70"/>
      <c r="AV346" s="70"/>
      <c r="AW346" s="70"/>
      <c r="AX346" s="70"/>
      <c r="AY346" s="70"/>
      <c r="AZ346" s="70"/>
      <c r="BA346" s="70"/>
    </row>
    <row r="347" spans="2:63" ht="15.75" customHeight="1" thickBot="1" x14ac:dyDescent="0.3">
      <c r="C347" s="580"/>
      <c r="D347" s="691"/>
      <c r="E347" s="448"/>
      <c r="F347" s="400"/>
      <c r="G347" s="362"/>
      <c r="H347" s="829"/>
      <c r="I347" s="532"/>
      <c r="J347" s="436"/>
      <c r="K347" s="431"/>
      <c r="L347" s="432"/>
      <c r="M347" s="532"/>
      <c r="N347" s="372"/>
      <c r="O347" s="435"/>
      <c r="P347" s="691"/>
      <c r="Q347" s="436"/>
      <c r="S347" s="374"/>
      <c r="T347" s="521"/>
      <c r="U347" s="1552" t="str">
        <f t="shared" si="217"/>
        <v>ICE Diesel Hybrid</v>
      </c>
      <c r="V347" s="1577">
        <f t="shared" si="219"/>
        <v>0</v>
      </c>
      <c r="W347" s="694">
        <f>AB347*74</f>
        <v>763.98930246973453</v>
      </c>
      <c r="X347" s="616"/>
      <c r="Y347" s="347">
        <f>Y346</f>
        <v>0.36488051916062114</v>
      </c>
      <c r="Z347" s="61">
        <f>1/((AB347/42700)/0.84*1000)</f>
        <v>3.4741742998491096</v>
      </c>
      <c r="AA347" s="615">
        <f t="shared" si="218"/>
        <v>9.685999497739238E-2</v>
      </c>
      <c r="AB347" s="61">
        <f>AB346</f>
        <v>10.324179763104521</v>
      </c>
      <c r="AC347" s="432">
        <f>AB347/H341</f>
        <v>1.2175047946270987</v>
      </c>
      <c r="AD347" s="748">
        <f t="shared" si="220"/>
        <v>0</v>
      </c>
      <c r="AE347" s="720"/>
      <c r="AF347" s="722">
        <f>AD347</f>
        <v>0</v>
      </c>
      <c r="AG347" s="733"/>
      <c r="AH347" s="892"/>
      <c r="AI347" s="733"/>
      <c r="AJ347" s="721"/>
      <c r="AK347" s="721"/>
      <c r="AL347" s="721"/>
      <c r="AM347" s="721"/>
      <c r="AN347" s="721"/>
      <c r="AO347" s="721"/>
      <c r="AP347" s="721"/>
      <c r="AQ347" s="721"/>
      <c r="AR347" s="645">
        <f>V347*T341</f>
        <v>0</v>
      </c>
      <c r="AU347" s="70"/>
      <c r="AV347" s="70"/>
      <c r="AW347" s="70"/>
      <c r="AX347" s="70"/>
      <c r="AY347" s="70"/>
      <c r="AZ347" s="70"/>
      <c r="BA347" s="70"/>
    </row>
    <row r="348" spans="2:63" ht="15.75" customHeight="1" thickBot="1" x14ac:dyDescent="0.3">
      <c r="C348" s="580"/>
      <c r="D348" s="691"/>
      <c r="E348" s="448"/>
      <c r="F348" s="400"/>
      <c r="G348" s="362"/>
      <c r="H348" s="829"/>
      <c r="I348" s="532"/>
      <c r="J348" s="436"/>
      <c r="K348" s="431"/>
      <c r="L348" s="432"/>
      <c r="M348" s="532"/>
      <c r="N348" s="372"/>
      <c r="O348" s="435"/>
      <c r="P348" s="691"/>
      <c r="Q348" s="436"/>
      <c r="S348" s="374"/>
      <c r="T348" s="521"/>
      <c r="U348" s="487" t="str">
        <f t="shared" si="217"/>
        <v>ICE Diesel</v>
      </c>
      <c r="V348" s="1577">
        <f t="shared" si="219"/>
        <v>0</v>
      </c>
      <c r="W348" s="694">
        <f>AB348*74</f>
        <v>1115.0592532732703</v>
      </c>
      <c r="X348" s="616"/>
      <c r="Y348" s="902">
        <v>0.25</v>
      </c>
      <c r="Z348" s="61">
        <f>1/((AB348/42700)/0.84*1000)</f>
        <v>2.3803506335725824</v>
      </c>
      <c r="AA348" s="615">
        <f t="shared" si="218"/>
        <v>6.6364186282273419E-2</v>
      </c>
      <c r="AB348" s="61">
        <f>AB352</f>
        <v>15.068368287476625</v>
      </c>
      <c r="AC348" s="411">
        <f>AB348/H341</f>
        <v>1.7769751261763247</v>
      </c>
      <c r="AD348" s="748">
        <f t="shared" si="220"/>
        <v>0</v>
      </c>
      <c r="AE348" s="720"/>
      <c r="AF348" s="722">
        <f>AD348</f>
        <v>0</v>
      </c>
      <c r="AG348" s="733"/>
      <c r="AH348" s="733"/>
      <c r="AI348" s="733"/>
      <c r="AJ348" s="721"/>
      <c r="AK348" s="721"/>
      <c r="AL348" s="721"/>
      <c r="AM348" s="721"/>
      <c r="AN348" s="721"/>
      <c r="AO348" s="721"/>
      <c r="AP348" s="721"/>
      <c r="AQ348" s="721"/>
      <c r="AR348" s="645">
        <f>V348*T341</f>
        <v>0</v>
      </c>
      <c r="AU348" s="1526"/>
      <c r="AV348" s="1526"/>
      <c r="AW348" s="1526"/>
      <c r="AX348" s="1526"/>
      <c r="AY348" s="1526"/>
      <c r="AZ348" s="70"/>
      <c r="BA348" s="70"/>
    </row>
    <row r="349" spans="2:63" ht="15.75" customHeight="1" x14ac:dyDescent="0.25">
      <c r="C349" s="580"/>
      <c r="D349" s="691"/>
      <c r="E349" s="448"/>
      <c r="F349" s="400"/>
      <c r="G349" s="362"/>
      <c r="H349" s="829"/>
      <c r="I349" s="532"/>
      <c r="J349" s="436"/>
      <c r="K349" s="431"/>
      <c r="L349" s="432"/>
      <c r="M349" s="532"/>
      <c r="N349" s="372"/>
      <c r="O349" s="435"/>
      <c r="P349" s="691"/>
      <c r="Q349" s="436"/>
      <c r="S349" s="374"/>
      <c r="T349" s="521"/>
      <c r="U349" s="487" t="s">
        <v>483</v>
      </c>
      <c r="V349" s="1577">
        <f t="shared" si="219"/>
        <v>0</v>
      </c>
      <c r="W349" s="694"/>
      <c r="X349" s="616"/>
      <c r="Y349" s="1532">
        <f>Y348</f>
        <v>0.25</v>
      </c>
      <c r="Z349" s="363">
        <f t="shared" ref="Z349:AC349" si="221">Z348</f>
        <v>2.3803506335725824</v>
      </c>
      <c r="AA349" s="1533">
        <f t="shared" si="221"/>
        <v>6.6364186282273419E-2</v>
      </c>
      <c r="AB349" s="363">
        <f t="shared" si="221"/>
        <v>15.068368287476625</v>
      </c>
      <c r="AC349" s="363">
        <f t="shared" si="221"/>
        <v>1.7769751261763247</v>
      </c>
      <c r="AD349" s="748">
        <f t="shared" si="220"/>
        <v>0</v>
      </c>
      <c r="AE349" s="720"/>
      <c r="AF349" s="741"/>
      <c r="AG349" s="733"/>
      <c r="AH349" s="733"/>
      <c r="AI349" s="733"/>
      <c r="AJ349" s="721"/>
      <c r="AK349" s="738">
        <f>AD349</f>
        <v>0</v>
      </c>
      <c r="AL349" s="721"/>
      <c r="AM349" s="721"/>
      <c r="AN349" s="721"/>
      <c r="AO349" s="721"/>
      <c r="AP349" s="721"/>
      <c r="AQ349" s="721"/>
      <c r="AR349" s="645">
        <f>V349*T341</f>
        <v>0</v>
      </c>
      <c r="AU349" s="70"/>
      <c r="AV349" s="70"/>
      <c r="AW349" s="70"/>
      <c r="AX349" s="70"/>
      <c r="AY349" s="70"/>
      <c r="AZ349" s="1526"/>
      <c r="BA349" s="1526"/>
    </row>
    <row r="350" spans="2:63" ht="15.75" customHeight="1" x14ac:dyDescent="0.25">
      <c r="C350" s="580"/>
      <c r="D350" s="691"/>
      <c r="E350" s="546"/>
      <c r="F350" s="1334"/>
      <c r="G350" s="1318"/>
      <c r="H350" s="827"/>
      <c r="I350" s="538"/>
      <c r="J350" s="473"/>
      <c r="K350" s="1342"/>
      <c r="L350" s="1334"/>
      <c r="M350" s="538"/>
      <c r="N350" s="372"/>
      <c r="O350" s="435"/>
      <c r="P350" s="691"/>
      <c r="Q350" s="436"/>
      <c r="R350" s="532"/>
      <c r="S350" s="374"/>
      <c r="T350" s="524"/>
      <c r="U350" s="487" t="str">
        <f t="shared" ref="U350:U360" si="222">U210</f>
        <v>ICE Syn-methanol</v>
      </c>
      <c r="V350" s="1577">
        <f>V210</f>
        <v>0</v>
      </c>
      <c r="W350" s="517"/>
      <c r="X350" s="616"/>
      <c r="Y350" s="347">
        <f>Y348</f>
        <v>0.25</v>
      </c>
      <c r="Z350" s="61">
        <f>Z348</f>
        <v>2.3803506335725824</v>
      </c>
      <c r="AA350" s="905">
        <f>AA348</f>
        <v>6.6364186282273419E-2</v>
      </c>
      <c r="AB350" s="61">
        <f>AB348</f>
        <v>15.068368287476625</v>
      </c>
      <c r="AC350" s="61">
        <f>AC348</f>
        <v>1.7769751261763247</v>
      </c>
      <c r="AD350" s="748">
        <f t="shared" si="220"/>
        <v>0</v>
      </c>
      <c r="AE350" s="720"/>
      <c r="AF350" s="733"/>
      <c r="AG350" s="733"/>
      <c r="AH350" s="722">
        <f>AD350</f>
        <v>0</v>
      </c>
      <c r="AI350" s="733"/>
      <c r="AJ350" s="721"/>
      <c r="AK350" s="721"/>
      <c r="AL350" s="721"/>
      <c r="AM350" s="721"/>
      <c r="AN350" s="721"/>
      <c r="AO350" s="721"/>
      <c r="AP350" s="721"/>
      <c r="AQ350" s="721"/>
      <c r="AR350" s="645">
        <f>V350*T341</f>
        <v>0</v>
      </c>
      <c r="AU350" s="894"/>
      <c r="AV350" s="894"/>
      <c r="AW350" s="894"/>
      <c r="AX350" s="894"/>
      <c r="AY350" s="894"/>
      <c r="AZ350" s="70"/>
      <c r="BA350" s="70"/>
    </row>
    <row r="351" spans="2:63" ht="15.75" customHeight="1" thickBot="1" x14ac:dyDescent="0.3">
      <c r="C351" s="580"/>
      <c r="D351" s="691"/>
      <c r="E351" s="546"/>
      <c r="F351" s="1334"/>
      <c r="G351" s="1318"/>
      <c r="H351" s="827"/>
      <c r="I351" s="538"/>
      <c r="J351" s="473"/>
      <c r="K351" s="1342"/>
      <c r="L351" s="1334"/>
      <c r="M351" s="538"/>
      <c r="N351" s="372"/>
      <c r="O351" s="435"/>
      <c r="P351" s="691"/>
      <c r="Q351" s="436"/>
      <c r="R351" s="532"/>
      <c r="S351" s="374"/>
      <c r="T351" s="524"/>
      <c r="U351" s="487" t="str">
        <f t="shared" si="222"/>
        <v>ICE Hybrid Syn-methanol</v>
      </c>
      <c r="V351" s="1578">
        <f>V211</f>
        <v>0</v>
      </c>
      <c r="W351" s="517"/>
      <c r="X351" s="616"/>
      <c r="Y351" s="347">
        <f>Y347</f>
        <v>0.36488051916062114</v>
      </c>
      <c r="Z351" s="61">
        <f>Z347</f>
        <v>3.4741742998491096</v>
      </c>
      <c r="AA351" s="905">
        <f>AA347</f>
        <v>9.685999497739238E-2</v>
      </c>
      <c r="AB351" s="61">
        <f>AB347</f>
        <v>10.324179763104521</v>
      </c>
      <c r="AC351" s="61">
        <f>AC347</f>
        <v>1.2175047946270987</v>
      </c>
      <c r="AD351" s="748">
        <f t="shared" si="220"/>
        <v>0</v>
      </c>
      <c r="AE351" s="720"/>
      <c r="AF351" s="721"/>
      <c r="AG351" s="733"/>
      <c r="AH351" s="722">
        <f>AD351</f>
        <v>0</v>
      </c>
      <c r="AI351" s="733"/>
      <c r="AJ351" s="721"/>
      <c r="AK351" s="721"/>
      <c r="AL351" s="721"/>
      <c r="AM351" s="721"/>
      <c r="AN351" s="721"/>
      <c r="AO351" s="721"/>
      <c r="AP351" s="721"/>
      <c r="AQ351" s="721"/>
      <c r="AR351" s="645">
        <f>V351*T341</f>
        <v>0</v>
      </c>
      <c r="AU351" s="70"/>
      <c r="AV351" s="70"/>
      <c r="AW351" s="70"/>
      <c r="AX351" s="70"/>
      <c r="AY351" s="70"/>
      <c r="AZ351" s="894"/>
      <c r="BA351" s="894"/>
    </row>
    <row r="352" spans="2:63" ht="15.75" customHeight="1" thickBot="1" x14ac:dyDescent="0.3">
      <c r="C352" s="580"/>
      <c r="D352" s="695"/>
      <c r="E352" s="548"/>
      <c r="F352" s="1357"/>
      <c r="G352" s="1358"/>
      <c r="H352" s="1356"/>
      <c r="I352" s="692"/>
      <c r="J352" s="663"/>
      <c r="K352" s="1359"/>
      <c r="L352" s="1357"/>
      <c r="M352" s="692"/>
      <c r="N352" s="409"/>
      <c r="O352" s="442"/>
      <c r="P352" s="695"/>
      <c r="Q352" s="443"/>
      <c r="R352" s="695"/>
      <c r="S352" s="374"/>
      <c r="T352" s="522"/>
      <c r="U352" s="1534" t="str">
        <f t="shared" si="222"/>
        <v>No shift in technology</v>
      </c>
      <c r="V352" s="412">
        <f>1-SUM(V342:V351)</f>
        <v>1</v>
      </c>
      <c r="W352" s="773">
        <f>AB352*74</f>
        <v>1115.0592532732703</v>
      </c>
      <c r="X352" s="406"/>
      <c r="Y352" s="902">
        <f>Y348</f>
        <v>0.25</v>
      </c>
      <c r="Z352" s="384"/>
      <c r="AA352" s="384"/>
      <c r="AB352" s="406">
        <f>L341</f>
        <v>15.068368287476625</v>
      </c>
      <c r="AC352" s="406">
        <f>K341</f>
        <v>1.7769751261763247</v>
      </c>
      <c r="AD352" s="747">
        <f>AC352*V352*$D$341</f>
        <v>27470.25535625367</v>
      </c>
      <c r="AE352" s="734"/>
      <c r="AF352" s="729">
        <f>+AD352*Q342</f>
        <v>25890.715673269086</v>
      </c>
      <c r="AG352" s="730"/>
      <c r="AH352" s="893"/>
      <c r="AI352" s="893"/>
      <c r="AJ352" s="730"/>
      <c r="AK352" s="907">
        <f>AD352*Q343</f>
        <v>1579.5396829845861</v>
      </c>
      <c r="AL352" s="730"/>
      <c r="AM352" s="730"/>
      <c r="AN352" s="730"/>
      <c r="AO352" s="730"/>
      <c r="AP352" s="730"/>
      <c r="AQ352" s="731"/>
      <c r="AR352" s="648">
        <f>T341-SUM(V342:V351)*T341</f>
        <v>52598.870294840555</v>
      </c>
      <c r="AU352" s="70"/>
      <c r="AV352" s="70"/>
      <c r="AW352" s="70"/>
      <c r="AX352" s="70"/>
      <c r="AY352" s="70"/>
      <c r="AZ352" s="70"/>
      <c r="BA352" s="70"/>
    </row>
    <row r="353" spans="3:53" ht="15.75" customHeight="1" thickBot="1" x14ac:dyDescent="0.3">
      <c r="C353" s="582" t="str">
        <f>C213</f>
        <v>International truck</v>
      </c>
      <c r="D353" s="693">
        <f>SUM(D354:D356)</f>
        <v>12124.695893490163</v>
      </c>
      <c r="E353" s="1331">
        <f>D353/D421</f>
        <v>9.1773463317234599E-2</v>
      </c>
      <c r="F353" s="1328">
        <f>((F354*I354)+(F355*I355)+(F356*I356))/(I354+I355+I356)</f>
        <v>30</v>
      </c>
      <c r="G353" s="1320">
        <f>H353/F353</f>
        <v>0.53587834051137251</v>
      </c>
      <c r="H353" s="1328">
        <f>((H354*I354)+(H355*I355)+(H356*I356))/(I354+I355+I356)</f>
        <v>16.076350215341176</v>
      </c>
      <c r="I353" s="759">
        <f>D353/H353</f>
        <v>754.1945610216884</v>
      </c>
      <c r="J353" s="795">
        <f>J355+J354+J356</f>
        <v>4.8123829091690176E-2</v>
      </c>
      <c r="K353" s="1338">
        <f>L353/H353</f>
        <v>1.2286467178448546</v>
      </c>
      <c r="L353" s="1328">
        <f>((L354*I354)+(L355*I355)+(L356*I356))/(I354+I355+I356)</f>
        <v>19.752154927003357</v>
      </c>
      <c r="M353" s="759">
        <f>D353*K353</f>
        <v>14896.967814403675</v>
      </c>
      <c r="N353" s="413">
        <f>M353/M421</f>
        <v>0.12190806040540554</v>
      </c>
      <c r="O353" s="682" t="s">
        <v>60</v>
      </c>
      <c r="P353" s="759">
        <f>SUM(P354+P355)</f>
        <v>14896.967814403675</v>
      </c>
      <c r="Q353" s="801">
        <f>SUM(Q354+Q355)</f>
        <v>1</v>
      </c>
      <c r="R353" s="759">
        <f>SUM(R354+R355)</f>
        <v>12124.695893490163</v>
      </c>
      <c r="S353" s="797">
        <f>SUM(S354+S355)</f>
        <v>0.99999999999999989</v>
      </c>
      <c r="T353" s="680">
        <f>I353/I341*T341</f>
        <v>21760.223037033888</v>
      </c>
      <c r="U353" s="491" t="str">
        <f t="shared" si="222"/>
        <v>Sum</v>
      </c>
      <c r="V353" s="4"/>
      <c r="W353" s="532"/>
      <c r="X353" s="4"/>
      <c r="Y353" s="4"/>
      <c r="Z353" s="4"/>
      <c r="AA353" s="615"/>
      <c r="AB353" s="4"/>
      <c r="AC353" s="4"/>
      <c r="AD353" s="748">
        <f>SUM(AD354:AD364)</f>
        <v>14896.967814403675</v>
      </c>
      <c r="AE353" s="720"/>
      <c r="AF353" s="733"/>
      <c r="AG353" s="733"/>
      <c r="AH353" s="733"/>
      <c r="AI353" s="733"/>
      <c r="AJ353" s="721"/>
      <c r="AK353" s="721"/>
      <c r="AL353" s="721"/>
      <c r="AM353" s="721"/>
      <c r="AN353" s="721"/>
      <c r="AO353" s="721"/>
      <c r="AP353" s="721"/>
      <c r="AQ353" s="721"/>
      <c r="AR353" s="644">
        <f>SUM(AR354:AR364)</f>
        <v>21760.223037033888</v>
      </c>
      <c r="AU353" s="70"/>
      <c r="AV353" s="70"/>
      <c r="AW353" s="70"/>
      <c r="AX353" s="70"/>
      <c r="AY353" s="70"/>
      <c r="AZ353" s="70"/>
      <c r="BA353" s="70"/>
    </row>
    <row r="354" spans="3:53" ht="15.75" customHeight="1" x14ac:dyDescent="0.25">
      <c r="C354" s="580" t="str">
        <f>C214</f>
        <v>&lt;250km</v>
      </c>
      <c r="D354" s="691">
        <f>((D214*(1+'Growth, Modal Shift, InfraCosts'!G52)^'Growth, Modal Shift, InfraCosts'!$H$4))</f>
        <v>486.43465605</v>
      </c>
      <c r="E354" s="546">
        <f>D354/D421</f>
        <v>3.6818897113291564E-3</v>
      </c>
      <c r="F354" s="1334">
        <v>30</v>
      </c>
      <c r="G354" s="881">
        <v>0.39400000000000002</v>
      </c>
      <c r="H354" s="827">
        <f>G354*F354</f>
        <v>11.82</v>
      </c>
      <c r="I354" s="538">
        <f>D354/H354</f>
        <v>41.153524200507611</v>
      </c>
      <c r="J354" s="473">
        <f>I354/I421</f>
        <v>2.6259340328085596E-3</v>
      </c>
      <c r="K354" s="1342">
        <f>L354/H354</f>
        <v>5.1145764485382106</v>
      </c>
      <c r="L354" s="1343">
        <f>L74*$AX$6</f>
        <v>60.454293621721646</v>
      </c>
      <c r="M354" s="538">
        <f>D354*K354</f>
        <v>2487.9072355861149</v>
      </c>
      <c r="N354" s="372">
        <f>M354/M421</f>
        <v>2.0359575810160836E-2</v>
      </c>
      <c r="O354" s="450" t="s">
        <v>3</v>
      </c>
      <c r="P354" s="532">
        <f>Q354*M353</f>
        <v>14040.392165075464</v>
      </c>
      <c r="Q354" s="436">
        <f>1-Q355</f>
        <v>0.9425</v>
      </c>
      <c r="R354" s="532">
        <f>S354*D353</f>
        <v>11506.549194633832</v>
      </c>
      <c r="S354" s="367">
        <f>Q354*Z360/(Q354*Z360+Q355*Z357)</f>
        <v>0.94901755027206747</v>
      </c>
      <c r="T354" s="525">
        <f>S354*T353</f>
        <v>20650.833559979706</v>
      </c>
      <c r="U354" s="487" t="str">
        <f t="shared" si="222"/>
        <v>Fuel cell hybrid truck Syn-methanol</v>
      </c>
      <c r="V354" s="1579">
        <f>V214</f>
        <v>0</v>
      </c>
      <c r="W354" s="532"/>
      <c r="X354" s="616"/>
      <c r="Y354" s="347">
        <f>Y300</f>
        <v>0.6</v>
      </c>
      <c r="Z354" s="411"/>
      <c r="AA354" s="615">
        <f t="shared" ref="AA354:AA360" si="223">1/AB354</f>
        <v>0.12054139863480713</v>
      </c>
      <c r="AB354" s="616">
        <f>AB214*AB364/AB224</f>
        <v>8.2959050693414085</v>
      </c>
      <c r="AC354" s="432">
        <f>AB354/H353</f>
        <v>0.51603162149483883</v>
      </c>
      <c r="AD354" s="748">
        <f>AC354*V354*$D$353</f>
        <v>0</v>
      </c>
      <c r="AE354" s="720"/>
      <c r="AF354" s="733"/>
      <c r="AG354" s="733"/>
      <c r="AH354" s="722">
        <f>AD354</f>
        <v>0</v>
      </c>
      <c r="AI354" s="733"/>
      <c r="AJ354" s="721"/>
      <c r="AK354" s="721"/>
      <c r="AL354" s="721"/>
      <c r="AM354" s="721"/>
      <c r="AN354" s="721"/>
      <c r="AO354" s="721"/>
      <c r="AP354" s="721"/>
      <c r="AR354" s="645">
        <f>V354*T353</f>
        <v>0</v>
      </c>
      <c r="AU354" s="70"/>
      <c r="AV354" s="70"/>
      <c r="AW354" s="70"/>
      <c r="AX354" s="70"/>
      <c r="AY354" s="70"/>
      <c r="AZ354" s="70"/>
      <c r="BA354" s="70"/>
    </row>
    <row r="355" spans="3:53" ht="15.75" customHeight="1" x14ac:dyDescent="0.25">
      <c r="C355" s="580" t="str">
        <f>C215</f>
        <v>250-1000km</v>
      </c>
      <c r="D355" s="691">
        <f>((D215*(1+'Growth, Modal Shift, InfraCosts'!G53)^'Growth, Modal Shift, InfraCosts'!$H$4))</f>
        <v>5253.299321550001</v>
      </c>
      <c r="E355" s="546">
        <f>D355/D421</f>
        <v>3.9762933175055769E-2</v>
      </c>
      <c r="F355" s="1334">
        <v>30</v>
      </c>
      <c r="G355" s="882">
        <v>0.47499999999999998</v>
      </c>
      <c r="H355" s="827">
        <f>G355*F355</f>
        <v>14.25</v>
      </c>
      <c r="I355" s="538">
        <f>D355/H355</f>
        <v>368.65258396842114</v>
      </c>
      <c r="J355" s="473">
        <f>I355/I421</f>
        <v>2.3523073304948006E-2</v>
      </c>
      <c r="K355" s="1342">
        <f>L355/H355</f>
        <v>1.7676694041439078</v>
      </c>
      <c r="L355" s="1344">
        <f>L75*$AX$6</f>
        <v>25.189289009050686</v>
      </c>
      <c r="M355" s="538">
        <f>D355*K355</f>
        <v>9286.096481513885</v>
      </c>
      <c r="N355" s="372">
        <f>M355/M421</f>
        <v>7.5991975340394757E-2</v>
      </c>
      <c r="O355" s="917" t="s">
        <v>74</v>
      </c>
      <c r="P355" s="912">
        <f>Q355*M353</f>
        <v>856.5756493282114</v>
      </c>
      <c r="Q355" s="913">
        <f>Q215</f>
        <v>5.7500000000000002E-2</v>
      </c>
      <c r="R355" s="912">
        <f>S355*D353</f>
        <v>618.14669885633145</v>
      </c>
      <c r="S355" s="914">
        <f>Q355*Z357/(Q354*Z360+Q355*Z357)</f>
        <v>5.0982449727932463E-2</v>
      </c>
      <c r="T355" s="520">
        <f>S355*T353</f>
        <v>1109.3894770541781</v>
      </c>
      <c r="U355" s="487" t="str">
        <f t="shared" si="222"/>
        <v>ICE Biogas</v>
      </c>
      <c r="V355" s="1577">
        <f t="shared" ref="V355:V361" si="224">V215</f>
        <v>0</v>
      </c>
      <c r="W355" s="532"/>
      <c r="X355" s="616"/>
      <c r="Y355" s="347">
        <v>0.24</v>
      </c>
      <c r="Z355" s="411"/>
      <c r="AA355" s="615">
        <f t="shared" si="223"/>
        <v>4.8602291929554224E-2</v>
      </c>
      <c r="AB355" s="61">
        <f>AB364*Y364/Y355</f>
        <v>20.575161382295164</v>
      </c>
      <c r="AC355" s="432">
        <f>AB355/H353</f>
        <v>1.2798403310883903</v>
      </c>
      <c r="AD355" s="748">
        <f t="shared" ref="AD355:AD363" si="225">AC355*V355*$D$353</f>
        <v>0</v>
      </c>
      <c r="AE355" s="720"/>
      <c r="AF355" s="733"/>
      <c r="AG355" s="733"/>
      <c r="AH355" s="892"/>
      <c r="AI355" s="733"/>
      <c r="AJ355" s="741"/>
      <c r="AK355" s="741"/>
      <c r="AL355" s="722">
        <f>AD355</f>
        <v>0</v>
      </c>
      <c r="AM355" s="721"/>
      <c r="AN355" s="721"/>
      <c r="AO355" s="721"/>
      <c r="AP355" s="721"/>
      <c r="AQ355" s="721"/>
      <c r="AR355" s="645">
        <f>V355*T353</f>
        <v>0</v>
      </c>
      <c r="AU355" s="70"/>
      <c r="AV355" s="70"/>
      <c r="AW355" s="70"/>
      <c r="AX355" s="70"/>
      <c r="AY355" s="70"/>
      <c r="AZ355" s="70"/>
      <c r="BA355" s="70"/>
    </row>
    <row r="356" spans="3:53" ht="15.75" customHeight="1" thickBot="1" x14ac:dyDescent="0.3">
      <c r="C356" s="580" t="str">
        <f>C216</f>
        <v>&gt;1000km</v>
      </c>
      <c r="D356" s="691">
        <f>((D216*(1+'Growth, Modal Shift, InfraCosts'!G54)^'Growth, Modal Shift, InfraCosts'!$H$4))*(1-'Growth, Modal Shift, InfraCosts'!S53)</f>
        <v>6384.9619158901633</v>
      </c>
      <c r="E356" s="546">
        <f>D356/D421</f>
        <v>4.8328640430849688E-2</v>
      </c>
      <c r="F356" s="1334">
        <v>30</v>
      </c>
      <c r="G356" s="883">
        <v>0.61799999999999999</v>
      </c>
      <c r="H356" s="827">
        <f>G356*F356</f>
        <v>18.54</v>
      </c>
      <c r="I356" s="538">
        <f>D356/H356</f>
        <v>344.38845285275966</v>
      </c>
      <c r="J356" s="473">
        <f>I356/I421</f>
        <v>2.1974821753933605E-2</v>
      </c>
      <c r="K356" s="1342">
        <f>L356/H356</f>
        <v>0.48911240794273181</v>
      </c>
      <c r="L356" s="1345">
        <f>L76*$AX$6</f>
        <v>9.068144043258247</v>
      </c>
      <c r="M356" s="538">
        <f>D356*K356</f>
        <v>3122.9640973036758</v>
      </c>
      <c r="N356" s="372">
        <f>M356/M421</f>
        <v>2.5556509254849945E-2</v>
      </c>
      <c r="T356" s="524"/>
      <c r="U356" s="487" t="str">
        <f t="shared" si="222"/>
        <v>ICE hybrid vehicle Biogas</v>
      </c>
      <c r="V356" s="1577">
        <f t="shared" si="224"/>
        <v>0</v>
      </c>
      <c r="W356" s="532"/>
      <c r="X356" s="616"/>
      <c r="Y356" s="1631">
        <f>Y355*(Y218/Y217)</f>
        <v>0.35028529839419631</v>
      </c>
      <c r="Z356" s="411"/>
      <c r="AA356" s="615">
        <f t="shared" si="223"/>
        <v>7.0936118046607266E-2</v>
      </c>
      <c r="AB356" s="61">
        <f>AB364*Y364/Y356</f>
        <v>14.09719093090164</v>
      </c>
      <c r="AC356" s="432">
        <f>AB356/H353</f>
        <v>0.87689001185412818</v>
      </c>
      <c r="AD356" s="748">
        <f t="shared" si="225"/>
        <v>0</v>
      </c>
      <c r="AE356" s="720"/>
      <c r="AF356" s="733"/>
      <c r="AG356" s="733"/>
      <c r="AH356" s="892"/>
      <c r="AI356" s="733"/>
      <c r="AJ356" s="741"/>
      <c r="AK356" s="741"/>
      <c r="AL356" s="722">
        <f>AD356</f>
        <v>0</v>
      </c>
      <c r="AM356" s="721"/>
      <c r="AN356" s="721"/>
      <c r="AO356" s="721"/>
      <c r="AP356" s="721"/>
      <c r="AQ356" s="721"/>
      <c r="AR356" s="645">
        <f>V356*T353</f>
        <v>0</v>
      </c>
      <c r="AU356" s="70"/>
      <c r="AV356" s="70"/>
      <c r="AW356" s="70"/>
      <c r="AX356" s="70"/>
      <c r="AY356" s="70"/>
      <c r="AZ356" s="70"/>
      <c r="BA356" s="70"/>
    </row>
    <row r="357" spans="3:53" ht="15.75" customHeight="1" x14ac:dyDescent="0.25">
      <c r="C357" s="580"/>
      <c r="D357" s="691"/>
      <c r="E357" s="546"/>
      <c r="F357" s="1334"/>
      <c r="G357" s="381"/>
      <c r="H357" s="827"/>
      <c r="I357" s="538"/>
      <c r="J357" s="473"/>
      <c r="K357" s="1342"/>
      <c r="L357" s="1334"/>
      <c r="M357" s="538"/>
      <c r="N357" s="372"/>
      <c r="T357" s="524"/>
      <c r="U357" s="487" t="str">
        <f t="shared" si="222"/>
        <v>ICE Bio-methanol</v>
      </c>
      <c r="V357" s="1577">
        <f t="shared" si="224"/>
        <v>0</v>
      </c>
      <c r="W357" s="694"/>
      <c r="X357" s="616"/>
      <c r="Y357" s="1631">
        <f>Y360</f>
        <v>0.25</v>
      </c>
      <c r="Z357" s="61">
        <f>1/((AB357/37600)/0.84*1000)</f>
        <v>1.5990154044823339</v>
      </c>
      <c r="AA357" s="615">
        <f t="shared" si="223"/>
        <v>5.0627387426618986E-2</v>
      </c>
      <c r="AB357" s="61">
        <f>AB364</f>
        <v>19.752154927003357</v>
      </c>
      <c r="AC357" s="432">
        <f>AB357/H353</f>
        <v>1.2286467178448546</v>
      </c>
      <c r="AD357" s="748">
        <f t="shared" si="225"/>
        <v>0</v>
      </c>
      <c r="AE357" s="720"/>
      <c r="AF357" s="733"/>
      <c r="AG357" s="733"/>
      <c r="AH357" s="892"/>
      <c r="AI357" s="722">
        <f>+AD357</f>
        <v>0</v>
      </c>
      <c r="AJ357" s="721"/>
      <c r="AK357" s="721"/>
      <c r="AL357" s="721"/>
      <c r="AM357" s="721"/>
      <c r="AN357" s="721"/>
      <c r="AO357" s="721"/>
      <c r="AP357" s="721"/>
      <c r="AQ357" s="721"/>
      <c r="AR357" s="645">
        <f>V357*T353</f>
        <v>0</v>
      </c>
      <c r="AU357" s="70"/>
      <c r="AV357" s="70"/>
      <c r="AW357" s="70"/>
      <c r="AX357" s="70"/>
      <c r="AY357" s="70"/>
      <c r="AZ357" s="70"/>
      <c r="BA357" s="70"/>
    </row>
    <row r="358" spans="3:53" ht="15.75" customHeight="1" x14ac:dyDescent="0.25">
      <c r="C358" s="580"/>
      <c r="D358" s="691"/>
      <c r="E358" s="546"/>
      <c r="F358" s="1334"/>
      <c r="G358" s="381"/>
      <c r="H358" s="827"/>
      <c r="I358" s="538"/>
      <c r="J358" s="473"/>
      <c r="K358" s="1342"/>
      <c r="L358" s="1334"/>
      <c r="M358" s="538"/>
      <c r="N358" s="372"/>
      <c r="O358" s="435"/>
      <c r="P358" s="691"/>
      <c r="Q358" s="436"/>
      <c r="R358" s="691"/>
      <c r="S358" s="374"/>
      <c r="T358" s="521"/>
      <c r="U358" s="487" t="str">
        <f t="shared" si="222"/>
        <v>ICE hybrid vehicle Bio-methanol</v>
      </c>
      <c r="V358" s="1577">
        <f t="shared" si="224"/>
        <v>0</v>
      </c>
      <c r="W358" s="694"/>
      <c r="X358" s="616"/>
      <c r="Y358" s="1631">
        <f>Y357*(Y218/Y217)</f>
        <v>0.36488051916062114</v>
      </c>
      <c r="Z358" s="61">
        <f>1/((AB358/37600)/0.84*1000)</f>
        <v>2.3337982837333788</v>
      </c>
      <c r="AA358" s="615">
        <f t="shared" si="223"/>
        <v>7.389178963188256E-2</v>
      </c>
      <c r="AB358" s="616">
        <f>AB364*Y364/Y358</f>
        <v>13.533303293665575</v>
      </c>
      <c r="AC358" s="432">
        <f>AB358/H353</f>
        <v>0.84181441137996316</v>
      </c>
      <c r="AD358" s="748">
        <f t="shared" si="225"/>
        <v>0</v>
      </c>
      <c r="AE358" s="720"/>
      <c r="AF358" s="733"/>
      <c r="AG358" s="733"/>
      <c r="AH358" s="892"/>
      <c r="AI358" s="722">
        <f>+AD358</f>
        <v>0</v>
      </c>
      <c r="AJ358" s="721"/>
      <c r="AK358" s="721"/>
      <c r="AL358" s="721"/>
      <c r="AM358" s="721"/>
      <c r="AN358" s="721"/>
      <c r="AO358" s="721"/>
      <c r="AP358" s="721"/>
      <c r="AQ358" s="721"/>
      <c r="AR358" s="645">
        <f>V358*T353</f>
        <v>0</v>
      </c>
      <c r="AU358" s="70"/>
      <c r="AV358" s="70"/>
      <c r="AW358" s="70"/>
      <c r="AX358" s="70"/>
      <c r="AY358" s="70"/>
      <c r="AZ358" s="70"/>
      <c r="BA358" s="70"/>
    </row>
    <row r="359" spans="3:53" ht="15.75" customHeight="1" x14ac:dyDescent="0.25">
      <c r="C359" s="580"/>
      <c r="D359" s="691"/>
      <c r="E359" s="546"/>
      <c r="F359" s="1334"/>
      <c r="G359" s="381"/>
      <c r="H359" s="827"/>
      <c r="I359" s="538"/>
      <c r="J359" s="473"/>
      <c r="K359" s="1342"/>
      <c r="L359" s="1334"/>
      <c r="M359" s="538"/>
      <c r="N359" s="372"/>
      <c r="O359" s="435"/>
      <c r="P359" s="691"/>
      <c r="Q359" s="436"/>
      <c r="R359" s="691"/>
      <c r="S359" s="374"/>
      <c r="T359" s="521"/>
      <c r="U359" s="1552" t="str">
        <f t="shared" si="222"/>
        <v>ICE Diesel Hybrid</v>
      </c>
      <c r="V359" s="1577">
        <f t="shared" si="224"/>
        <v>0</v>
      </c>
      <c r="W359" s="694">
        <f>AB359*74</f>
        <v>1001.4644437312526</v>
      </c>
      <c r="X359" s="616"/>
      <c r="Y359" s="347">
        <f>Y358</f>
        <v>0.36488051916062114</v>
      </c>
      <c r="Z359" s="61">
        <f>1/((AB359/42700)/0.84*1000)</f>
        <v>2.6503507105163631</v>
      </c>
      <c r="AA359" s="615">
        <f t="shared" si="223"/>
        <v>7.389178963188256E-2</v>
      </c>
      <c r="AB359" s="61">
        <f>AB358</f>
        <v>13.533303293665575</v>
      </c>
      <c r="AC359" s="432">
        <f>AB359/H353</f>
        <v>0.84181441137996316</v>
      </c>
      <c r="AD359" s="748">
        <f t="shared" si="225"/>
        <v>0</v>
      </c>
      <c r="AE359" s="720"/>
      <c r="AF359" s="722">
        <f>AD359</f>
        <v>0</v>
      </c>
      <c r="AG359" s="733"/>
      <c r="AH359" s="892"/>
      <c r="AI359" s="733"/>
      <c r="AJ359" s="721"/>
      <c r="AK359" s="721"/>
      <c r="AL359" s="721"/>
      <c r="AM359" s="721"/>
      <c r="AN359" s="721"/>
      <c r="AO359" s="721"/>
      <c r="AP359" s="721"/>
      <c r="AQ359" s="721"/>
      <c r="AR359" s="645">
        <f>V359*T353</f>
        <v>0</v>
      </c>
      <c r="AU359" s="70"/>
      <c r="AV359" s="70"/>
      <c r="AW359" s="70"/>
      <c r="AX359" s="70"/>
      <c r="AY359" s="70"/>
      <c r="AZ359" s="70"/>
      <c r="BA359" s="70"/>
    </row>
    <row r="360" spans="3:53" ht="15.75" customHeight="1" x14ac:dyDescent="0.25">
      <c r="C360" s="580"/>
      <c r="D360" s="691"/>
      <c r="E360" s="546"/>
      <c r="F360" s="1334"/>
      <c r="G360" s="381"/>
      <c r="H360" s="827"/>
      <c r="I360" s="538"/>
      <c r="J360" s="473"/>
      <c r="K360" s="1342"/>
      <c r="L360" s="1334"/>
      <c r="M360" s="538"/>
      <c r="N360" s="372"/>
      <c r="O360" s="435"/>
      <c r="P360" s="691"/>
      <c r="Q360" s="436"/>
      <c r="R360" s="691"/>
      <c r="S360" s="374"/>
      <c r="T360" s="521"/>
      <c r="U360" s="487" t="str">
        <f t="shared" si="222"/>
        <v>ICE Diesel</v>
      </c>
      <c r="V360" s="1577">
        <f t="shared" si="224"/>
        <v>0</v>
      </c>
      <c r="W360" s="694">
        <f>AB360*74</f>
        <v>1461.6594645982484</v>
      </c>
      <c r="X360" s="616"/>
      <c r="Y360" s="347">
        <f>Y364</f>
        <v>0.25</v>
      </c>
      <c r="Z360" s="61">
        <f>1/((AB360/42700)/0.84*1000)</f>
        <v>1.8159031322179697</v>
      </c>
      <c r="AA360" s="615">
        <f t="shared" si="223"/>
        <v>5.0627387426618986E-2</v>
      </c>
      <c r="AB360" s="61">
        <f>AB364</f>
        <v>19.752154927003357</v>
      </c>
      <c r="AC360" s="432">
        <f>AB360/H353</f>
        <v>1.2286467178448546</v>
      </c>
      <c r="AD360" s="748">
        <f t="shared" si="225"/>
        <v>0</v>
      </c>
      <c r="AE360" s="720"/>
      <c r="AF360" s="722">
        <f>AD360</f>
        <v>0</v>
      </c>
      <c r="AG360" s="733"/>
      <c r="AH360" s="733"/>
      <c r="AI360" s="733"/>
      <c r="AJ360" s="721"/>
      <c r="AK360" s="721"/>
      <c r="AL360" s="721"/>
      <c r="AM360" s="721"/>
      <c r="AN360" s="721"/>
      <c r="AO360" s="721"/>
      <c r="AP360" s="721"/>
      <c r="AQ360" s="721"/>
      <c r="AR360" s="645">
        <f>V360*T353</f>
        <v>0</v>
      </c>
      <c r="AU360" s="1526"/>
      <c r="AV360" s="1526"/>
      <c r="AW360" s="1526"/>
      <c r="AX360" s="1526"/>
      <c r="AY360" s="1526"/>
      <c r="AZ360" s="70"/>
      <c r="BA360" s="70"/>
    </row>
    <row r="361" spans="3:53" ht="15.75" customHeight="1" x14ac:dyDescent="0.25">
      <c r="C361" s="580"/>
      <c r="D361" s="691"/>
      <c r="E361" s="546"/>
      <c r="F361" s="1334"/>
      <c r="G361" s="381"/>
      <c r="H361" s="827"/>
      <c r="I361" s="538"/>
      <c r="J361" s="473"/>
      <c r="K361" s="1342"/>
      <c r="L361" s="1334"/>
      <c r="M361" s="538"/>
      <c r="N361" s="372"/>
      <c r="O361" s="435"/>
      <c r="P361" s="691"/>
      <c r="Q361" s="436"/>
      <c r="R361" s="691"/>
      <c r="S361" s="374"/>
      <c r="T361" s="521"/>
      <c r="U361" s="487" t="s">
        <v>483</v>
      </c>
      <c r="V361" s="1577">
        <f t="shared" si="224"/>
        <v>0</v>
      </c>
      <c r="W361" s="694"/>
      <c r="X361" s="616"/>
      <c r="Y361" s="347">
        <f>Y360</f>
        <v>0.25</v>
      </c>
      <c r="Z361" s="61">
        <f t="shared" ref="Z361:AC361" si="226">Z360</f>
        <v>1.8159031322179697</v>
      </c>
      <c r="AA361" s="615">
        <f t="shared" si="226"/>
        <v>5.0627387426618986E-2</v>
      </c>
      <c r="AB361" s="61">
        <f t="shared" si="226"/>
        <v>19.752154927003357</v>
      </c>
      <c r="AC361" s="432">
        <f t="shared" si="226"/>
        <v>1.2286467178448546</v>
      </c>
      <c r="AD361" s="748">
        <f t="shared" si="225"/>
        <v>0</v>
      </c>
      <c r="AE361" s="720"/>
      <c r="AF361" s="741"/>
      <c r="AG361" s="733"/>
      <c r="AH361" s="733"/>
      <c r="AI361" s="733"/>
      <c r="AJ361" s="721"/>
      <c r="AK361" s="738">
        <f>AD361</f>
        <v>0</v>
      </c>
      <c r="AL361" s="721"/>
      <c r="AM361" s="721"/>
      <c r="AN361" s="721"/>
      <c r="AO361" s="721"/>
      <c r="AP361" s="721"/>
      <c r="AQ361" s="721"/>
      <c r="AR361" s="645">
        <f>V361*T353</f>
        <v>0</v>
      </c>
      <c r="AU361" s="70"/>
      <c r="AV361" s="70"/>
      <c r="AW361" s="70"/>
      <c r="AX361" s="70"/>
      <c r="AY361" s="70"/>
      <c r="AZ361" s="1526"/>
      <c r="BA361" s="1526"/>
    </row>
    <row r="362" spans="3:53" ht="15.75" customHeight="1" x14ac:dyDescent="0.25">
      <c r="C362" s="580"/>
      <c r="D362" s="691"/>
      <c r="E362" s="546"/>
      <c r="F362" s="1334"/>
      <c r="G362" s="381"/>
      <c r="H362" s="827"/>
      <c r="I362" s="538"/>
      <c r="J362" s="473"/>
      <c r="K362" s="1342"/>
      <c r="L362" s="1334"/>
      <c r="M362" s="538"/>
      <c r="N362" s="372"/>
      <c r="O362" s="435"/>
      <c r="P362" s="691"/>
      <c r="Q362" s="436"/>
      <c r="R362" s="691"/>
      <c r="S362" s="374"/>
      <c r="T362" s="524"/>
      <c r="U362" s="487" t="str">
        <f t="shared" ref="U362:U369" si="227">U222</f>
        <v>ICE Syn-methanol</v>
      </c>
      <c r="V362" s="1577">
        <f>V222</f>
        <v>0</v>
      </c>
      <c r="W362" s="517"/>
      <c r="X362" s="411"/>
      <c r="Y362" s="347">
        <f>Y360</f>
        <v>0.25</v>
      </c>
      <c r="Z362" s="61">
        <f>Z360</f>
        <v>1.8159031322179697</v>
      </c>
      <c r="AA362" s="905">
        <f>AA360</f>
        <v>5.0627387426618986E-2</v>
      </c>
      <c r="AB362" s="61">
        <f>AB360</f>
        <v>19.752154927003357</v>
      </c>
      <c r="AC362" s="61">
        <f>AC360</f>
        <v>1.2286467178448546</v>
      </c>
      <c r="AD362" s="748">
        <f t="shared" si="225"/>
        <v>0</v>
      </c>
      <c r="AE362" s="720"/>
      <c r="AF362" s="733"/>
      <c r="AG362" s="733"/>
      <c r="AH362" s="722">
        <f>AD362</f>
        <v>0</v>
      </c>
      <c r="AI362" s="733"/>
      <c r="AJ362" s="721"/>
      <c r="AK362" s="721"/>
      <c r="AL362" s="721"/>
      <c r="AM362" s="721"/>
      <c r="AN362" s="721"/>
      <c r="AO362" s="721"/>
      <c r="AP362" s="721"/>
      <c r="AQ362" s="721"/>
      <c r="AR362" s="645">
        <f>V362*T353</f>
        <v>0</v>
      </c>
      <c r="AU362" s="894"/>
      <c r="AV362" s="894"/>
      <c r="AW362" s="894"/>
      <c r="AX362" s="894"/>
      <c r="AY362" s="894"/>
      <c r="AZ362" s="70"/>
      <c r="BA362" s="70"/>
    </row>
    <row r="363" spans="3:53" ht="15.75" customHeight="1" thickBot="1" x14ac:dyDescent="0.3">
      <c r="C363" s="580"/>
      <c r="D363" s="691"/>
      <c r="E363" s="546"/>
      <c r="F363" s="1334"/>
      <c r="G363" s="381"/>
      <c r="H363" s="827"/>
      <c r="I363" s="538"/>
      <c r="J363" s="473"/>
      <c r="K363" s="1342"/>
      <c r="L363" s="1334"/>
      <c r="M363" s="538"/>
      <c r="N363" s="372"/>
      <c r="O363" s="435"/>
      <c r="P363" s="691"/>
      <c r="Q363" s="436"/>
      <c r="R363" s="691"/>
      <c r="S363" s="374"/>
      <c r="T363" s="524"/>
      <c r="U363" s="487" t="str">
        <f t="shared" si="227"/>
        <v>ICE Hybrid Syn-methanol</v>
      </c>
      <c r="V363" s="295">
        <f>V223</f>
        <v>0</v>
      </c>
      <c r="W363" s="517"/>
      <c r="X363" s="411"/>
      <c r="Y363" s="347">
        <f>Y359</f>
        <v>0.36488051916062114</v>
      </c>
      <c r="Z363" s="61">
        <f>Z359</f>
        <v>2.6503507105163631</v>
      </c>
      <c r="AA363" s="905">
        <f>AA359</f>
        <v>7.389178963188256E-2</v>
      </c>
      <c r="AB363" s="61">
        <f>AB359</f>
        <v>13.533303293665575</v>
      </c>
      <c r="AC363" s="61">
        <f>AC359</f>
        <v>0.84181441137996316</v>
      </c>
      <c r="AD363" s="748">
        <f t="shared" si="225"/>
        <v>0</v>
      </c>
      <c r="AE363" s="720"/>
      <c r="AF363" s="721"/>
      <c r="AG363" s="733"/>
      <c r="AH363" s="722">
        <f>AD363</f>
        <v>0</v>
      </c>
      <c r="AI363" s="733"/>
      <c r="AJ363" s="721"/>
      <c r="AK363" s="721"/>
      <c r="AL363" s="721"/>
      <c r="AM363" s="721"/>
      <c r="AN363" s="721"/>
      <c r="AO363" s="721"/>
      <c r="AP363" s="721"/>
      <c r="AQ363" s="723"/>
      <c r="AR363" s="645">
        <f>V363*T353</f>
        <v>0</v>
      </c>
      <c r="AU363" s="70"/>
      <c r="AV363" s="70"/>
      <c r="AW363" s="70"/>
      <c r="AX363" s="70"/>
      <c r="AY363" s="70"/>
      <c r="AZ363" s="894"/>
      <c r="BA363" s="894"/>
    </row>
    <row r="364" spans="3:53" ht="15.75" customHeight="1" thickBot="1" x14ac:dyDescent="0.3">
      <c r="C364" s="581"/>
      <c r="D364" s="691"/>
      <c r="E364" s="548"/>
      <c r="F364" s="1357"/>
      <c r="G364" s="665"/>
      <c r="H364" s="1356"/>
      <c r="I364" s="692"/>
      <c r="J364" s="663"/>
      <c r="K364" s="1359"/>
      <c r="L364" s="1357"/>
      <c r="M364" s="692"/>
      <c r="N364" s="409"/>
      <c r="O364" s="442"/>
      <c r="P364" s="695"/>
      <c r="Q364" s="443"/>
      <c r="R364" s="695"/>
      <c r="S364" s="445"/>
      <c r="T364" s="523"/>
      <c r="U364" s="1534" t="str">
        <f t="shared" si="227"/>
        <v>No shift in technology</v>
      </c>
      <c r="V364" s="412">
        <f>1-SUM(V354:V363)</f>
        <v>1</v>
      </c>
      <c r="W364" s="532">
        <f>AB364*74</f>
        <v>1461.6594645982484</v>
      </c>
      <c r="X364" s="406"/>
      <c r="Y364" s="362">
        <f>Y352</f>
        <v>0.25</v>
      </c>
      <c r="Z364" s="4"/>
      <c r="AA364" s="4"/>
      <c r="AB364" s="411">
        <f>L353</f>
        <v>19.752154927003357</v>
      </c>
      <c r="AC364" s="432">
        <f>K353</f>
        <v>1.2286467178448546</v>
      </c>
      <c r="AD364" s="747">
        <f>AC364*V364*D353</f>
        <v>14896.967814403675</v>
      </c>
      <c r="AE364" s="734"/>
      <c r="AF364" s="729">
        <f>+AD364*Q354</f>
        <v>14040.392165075464</v>
      </c>
      <c r="AG364" s="730"/>
      <c r="AH364" s="893"/>
      <c r="AI364" s="893"/>
      <c r="AJ364" s="730"/>
      <c r="AK364" s="907">
        <f>AD364*Q355</f>
        <v>856.5756493282114</v>
      </c>
      <c r="AL364" s="730"/>
      <c r="AM364" s="730"/>
      <c r="AN364" s="730"/>
      <c r="AO364" s="730"/>
      <c r="AP364" s="730"/>
      <c r="AQ364" s="731"/>
      <c r="AR364" s="648">
        <f>T353-SUM(V354:V363)*T353</f>
        <v>21760.223037033888</v>
      </c>
      <c r="AU364" s="70"/>
      <c r="AV364" s="70"/>
      <c r="AW364" s="70"/>
      <c r="AX364" s="70"/>
      <c r="AY364" s="70"/>
      <c r="AZ364" s="70"/>
      <c r="BA364" s="70"/>
    </row>
    <row r="365" spans="3:53" ht="15.75" customHeight="1" thickBot="1" x14ac:dyDescent="0.3">
      <c r="C365" s="582" t="str">
        <f>C225</f>
        <v>Vans (2-6 t)</v>
      </c>
      <c r="D365" s="693">
        <f>SUM(D366:D367)</f>
        <v>6268.5832268584054</v>
      </c>
      <c r="E365" s="1331">
        <f>D365/D421</f>
        <v>4.7447754391101812E-2</v>
      </c>
      <c r="F365" s="1328">
        <f>((F366*I366)+(F367*I367)+(F368*I368))/(I366+I367+I368)</f>
        <v>1</v>
      </c>
      <c r="G365" s="1320">
        <f>H365/F365</f>
        <v>0.48</v>
      </c>
      <c r="H365" s="1328">
        <f>((H366*I366)+(H367*I367)+(H368*I368))/(I366+I367+I368)</f>
        <v>0.48</v>
      </c>
      <c r="I365" s="759">
        <f>D365/H365</f>
        <v>13059.548389288346</v>
      </c>
      <c r="J365" s="795">
        <f>J367+J366</f>
        <v>0.83330682450081583</v>
      </c>
      <c r="K365" s="1338">
        <f>L365/H365</f>
        <v>7.4667665341051181</v>
      </c>
      <c r="L365" s="1328">
        <f>((L366*I366)+(L367*I367)+(L368*I368))/(I366+I367+I368)</f>
        <v>3.5840479363704567</v>
      </c>
      <c r="M365" s="759">
        <f>D365*K365</f>
        <v>46806.047454559011</v>
      </c>
      <c r="N365" s="413">
        <f>M365/M421</f>
        <v>0.38303328110245166</v>
      </c>
      <c r="O365" s="682" t="s">
        <v>60</v>
      </c>
      <c r="P365" s="759">
        <f>SUM(P366:P369)</f>
        <v>46806.047454559011</v>
      </c>
      <c r="Q365" s="801">
        <f>SUM(Q366:Q369)</f>
        <v>1</v>
      </c>
      <c r="R365" s="759">
        <f>SUM(R366:R369)</f>
        <v>6268.5832268584054</v>
      </c>
      <c r="S365" s="797">
        <f>SUM(S366:S369)</f>
        <v>1.0000000000000002</v>
      </c>
      <c r="T365" s="680">
        <f>T225*(D365/D225)/(1.01^10)</f>
        <v>585557.7806560084</v>
      </c>
      <c r="U365" s="1553" t="str">
        <f t="shared" si="227"/>
        <v xml:space="preserve">Sum </v>
      </c>
      <c r="V365" s="619"/>
      <c r="W365" s="762"/>
      <c r="X365" s="447"/>
      <c r="Y365" s="619"/>
      <c r="Z365" s="447"/>
      <c r="AA365" s="447"/>
      <c r="AB365" s="447"/>
      <c r="AC365" s="447"/>
      <c r="AD365" s="748">
        <f>SUM(AD366:AD382)</f>
        <v>46806.047454559011</v>
      </c>
      <c r="AE365" s="716"/>
      <c r="AF365" s="717"/>
      <c r="AG365" s="717"/>
      <c r="AH365" s="717"/>
      <c r="AI365" s="717"/>
      <c r="AJ365" s="718"/>
      <c r="AK365" s="718"/>
      <c r="AL365" s="718"/>
      <c r="AM365" s="718"/>
      <c r="AN365" s="718"/>
      <c r="AO365" s="718"/>
      <c r="AP365" s="717"/>
      <c r="AQ365" s="719"/>
      <c r="AR365" s="644">
        <f>SUM(AR366:AR382)</f>
        <v>585557.7806560084</v>
      </c>
      <c r="AU365" s="70"/>
      <c r="AV365" s="70"/>
      <c r="AW365" s="70"/>
      <c r="AX365" s="70"/>
      <c r="AY365" s="70"/>
      <c r="AZ365" s="70"/>
      <c r="BA365" s="70"/>
    </row>
    <row r="366" spans="3:53" ht="15.75" customHeight="1" x14ac:dyDescent="0.25">
      <c r="C366" s="580" t="str">
        <f>C226</f>
        <v>&lt;50km</v>
      </c>
      <c r="D366" s="532">
        <f>((D226*(1+'Growth, Modal Shift, InfraCosts'!G56)^'Growth, Modal Shift, InfraCosts'!$H$4))</f>
        <v>2123.1691389369416</v>
      </c>
      <c r="E366" s="546">
        <f>D366/D421</f>
        <v>1.607055441226618E-2</v>
      </c>
      <c r="F366" s="1334">
        <v>1</v>
      </c>
      <c r="G366" s="425">
        <v>0.48</v>
      </c>
      <c r="H366" s="827">
        <f>G366*F366</f>
        <v>0.48</v>
      </c>
      <c r="I366" s="538">
        <f>D366/H366</f>
        <v>4423.2690394519623</v>
      </c>
      <c r="J366" s="473">
        <f>I366/I421</f>
        <v>0.28224102145842633</v>
      </c>
      <c r="K366" s="1342">
        <f>L366/H366</f>
        <v>7.466766534105119</v>
      </c>
      <c r="L366" s="1343">
        <f>L86*$AX$9</f>
        <v>3.5840479363704572</v>
      </c>
      <c r="M366" s="538">
        <f>D366*K366</f>
        <v>15853.208272859138</v>
      </c>
      <c r="N366" s="367">
        <f>M366/M421</f>
        <v>0.12973337230940038</v>
      </c>
      <c r="O366" s="450" t="s">
        <v>3</v>
      </c>
      <c r="P366" s="532">
        <f>Q366*M365</f>
        <v>42719.600132142652</v>
      </c>
      <c r="Q366" s="358">
        <f>Q226</f>
        <v>0.91269403112100789</v>
      </c>
      <c r="R366" s="532">
        <f>S366*D365</f>
        <v>5840.6640378388847</v>
      </c>
      <c r="S366" s="367">
        <f>(Q366*Z367)/(Q366*Z367+Q367*Z371+Q368*Z372+Q369*Z373)</f>
        <v>0.93173590051639488</v>
      </c>
      <c r="T366" s="525">
        <f>S366*T365</f>
        <v>545585.20606390759</v>
      </c>
      <c r="U366" s="487" t="str">
        <f t="shared" si="227"/>
        <v>Battery electric vehicles</v>
      </c>
      <c r="V366" s="1579">
        <f>V226</f>
        <v>0</v>
      </c>
      <c r="W366" s="694"/>
      <c r="X366" s="61"/>
      <c r="Y366" s="347">
        <f>Y287</f>
        <v>0.9</v>
      </c>
      <c r="Z366" s="61"/>
      <c r="AA366" s="61">
        <f t="shared" ref="AA366:AA381" si="228">1/AB366</f>
        <v>1.3641931120562953</v>
      </c>
      <c r="AB366" s="61">
        <f>AB226</f>
        <v>0.73303404859790378</v>
      </c>
      <c r="AC366" s="61">
        <f>AC382/Y366*Y382</f>
        <v>1.5494836537554026</v>
      </c>
      <c r="AD366" s="752">
        <f t="shared" ref="AD366:AD378" si="229">AC366*V366*$D$365</f>
        <v>0</v>
      </c>
      <c r="AE366" s="720"/>
      <c r="AF366" s="721"/>
      <c r="AG366" s="721"/>
      <c r="AH366" s="721"/>
      <c r="AI366" s="721"/>
      <c r="AJ366" s="721"/>
      <c r="AK366" s="721"/>
      <c r="AL366" s="721"/>
      <c r="AM366" s="721"/>
      <c r="AN366" s="722">
        <f>AD366</f>
        <v>0</v>
      </c>
      <c r="AO366" s="721"/>
      <c r="AP366" s="721"/>
      <c r="AQ366" s="723"/>
      <c r="AR366" s="645">
        <f>V366*T365</f>
        <v>0</v>
      </c>
      <c r="AU366" s="70"/>
      <c r="AV366" s="70"/>
      <c r="AW366" s="70"/>
      <c r="AX366" s="70"/>
      <c r="AY366" s="70"/>
      <c r="AZ366" s="70"/>
      <c r="BA366" s="70"/>
    </row>
    <row r="367" spans="3:53" ht="15.75" customHeight="1" thickBot="1" x14ac:dyDescent="0.3">
      <c r="C367" s="580" t="str">
        <f>C227</f>
        <v>&gt;50km</v>
      </c>
      <c r="D367" s="532">
        <f>((D227*(1+'Growth, Modal Shift, InfraCosts'!G57)^'Growth, Modal Shift, InfraCosts'!$H$4))</f>
        <v>4145.4140879214638</v>
      </c>
      <c r="E367" s="546">
        <f>D367/D421</f>
        <v>3.1377199978835632E-2</v>
      </c>
      <c r="F367" s="1334">
        <v>1</v>
      </c>
      <c r="G367" s="426">
        <v>0.48</v>
      </c>
      <c r="H367" s="827">
        <f>G367*F367</f>
        <v>0.48</v>
      </c>
      <c r="I367" s="538">
        <f>D367/H367</f>
        <v>8636.2793498363826</v>
      </c>
      <c r="J367" s="473">
        <f>I367/I421</f>
        <v>0.5510658030423895</v>
      </c>
      <c r="K367" s="1342">
        <f>L367/H367</f>
        <v>7.466766534105119</v>
      </c>
      <c r="L367" s="1345">
        <f>L87*$AX$9</f>
        <v>3.5840479363704572</v>
      </c>
      <c r="M367" s="538">
        <f>D367*K367</f>
        <v>30952.839181699881</v>
      </c>
      <c r="N367" s="367">
        <f>M367/M421</f>
        <v>0.25329990879305136</v>
      </c>
      <c r="O367" s="357" t="s">
        <v>41</v>
      </c>
      <c r="P367" s="694">
        <f>Q367*M365</f>
        <v>1395.099593779214</v>
      </c>
      <c r="Q367" s="358">
        <f>Q227</f>
        <v>2.9805968878992114E-2</v>
      </c>
      <c r="R367" s="694">
        <f>S367*D365</f>
        <v>164.20876149940096</v>
      </c>
      <c r="S367" s="367">
        <f>(Q367*Z371)/(Q366*Z367+Q367*Z371+Q368*Z372+Q369*Z373)</f>
        <v>2.6195514290347336E-2</v>
      </c>
      <c r="T367" s="520">
        <f>S367*T365</f>
        <v>15338.987210998539</v>
      </c>
      <c r="U367" s="487" t="str">
        <f t="shared" si="227"/>
        <v>ICE Diesel</v>
      </c>
      <c r="V367" s="1577">
        <f t="shared" ref="V367:V375" si="230">V227</f>
        <v>0</v>
      </c>
      <c r="W367" s="694">
        <f>AB367*74</f>
        <v>198.13557377301086</v>
      </c>
      <c r="X367" s="61"/>
      <c r="Y367" s="347">
        <f>Y288</f>
        <v>0.25</v>
      </c>
      <c r="Z367" s="61">
        <f>1/((AB367/42700)/0.84*1000)</f>
        <v>13.396039638196195</v>
      </c>
      <c r="AA367" s="61">
        <f>1/AB367</f>
        <v>0.3734816448699731</v>
      </c>
      <c r="AB367" s="628">
        <f>AB382/Y367*Y382</f>
        <v>2.6775077536893361</v>
      </c>
      <c r="AC367" s="61">
        <f>AC382/Y367*Y382</f>
        <v>5.5781411535194501</v>
      </c>
      <c r="AD367" s="752">
        <f t="shared" si="229"/>
        <v>0</v>
      </c>
      <c r="AE367" s="725"/>
      <c r="AF367" s="722">
        <f>AD367</f>
        <v>0</v>
      </c>
      <c r="AG367" s="721"/>
      <c r="AH367" s="721"/>
      <c r="AI367" s="721"/>
      <c r="AJ367" s="721"/>
      <c r="AK367" s="721"/>
      <c r="AL367" s="721"/>
      <c r="AM367" s="721"/>
      <c r="AN367" s="721"/>
      <c r="AO367" s="721"/>
      <c r="AP367" s="721"/>
      <c r="AQ367" s="723"/>
      <c r="AR367" s="645">
        <f>V367*T365</f>
        <v>0</v>
      </c>
      <c r="AU367" s="70"/>
      <c r="AV367" s="70"/>
      <c r="AW367" s="70"/>
      <c r="AX367" s="70"/>
      <c r="AY367" s="70"/>
      <c r="AZ367" s="70"/>
      <c r="BA367" s="70"/>
    </row>
    <row r="368" spans="3:53" ht="15.75" customHeight="1" x14ac:dyDescent="0.25">
      <c r="C368" s="580"/>
      <c r="D368" s="532"/>
      <c r="E368" s="546"/>
      <c r="F368" s="364"/>
      <c r="G368" s="473"/>
      <c r="H368" s="827"/>
      <c r="I368" s="538"/>
      <c r="J368" s="473"/>
      <c r="K368" s="1342"/>
      <c r="L368" s="1334"/>
      <c r="M368" s="538"/>
      <c r="N368" s="367"/>
      <c r="O368" s="911" t="s">
        <v>43</v>
      </c>
      <c r="P368" s="912">
        <f>Q368*M365</f>
        <v>1345.6738643185715</v>
      </c>
      <c r="Q368" s="913">
        <f>Q228</f>
        <v>2.8750000000000001E-2</v>
      </c>
      <c r="R368" s="912">
        <f>S368*D365</f>
        <v>101.70303416674695</v>
      </c>
      <c r="S368" s="914">
        <f>Q368*Z372/(Q366*Z367+Q367*Z371+Q368*Z372+Q369*Z373)</f>
        <v>1.6224245652668307E-2</v>
      </c>
      <c r="T368" s="520">
        <f>S368*T365</f>
        <v>9500.2332771943456</v>
      </c>
      <c r="U368" s="487" t="str">
        <f t="shared" si="227"/>
        <v>ICE hybrid vehicle Diesel</v>
      </c>
      <c r="V368" s="1577">
        <f t="shared" si="230"/>
        <v>0</v>
      </c>
      <c r="W368" s="694">
        <f>AB368*74</f>
        <v>148.54615258485995</v>
      </c>
      <c r="X368" s="61"/>
      <c r="Y368" s="347">
        <f>Y289</f>
        <v>0.33345793601053042</v>
      </c>
      <c r="Z368" s="61">
        <f>1/((AB368/42700)/0.84*1000)</f>
        <v>17.868062913872624</v>
      </c>
      <c r="AA368" s="61">
        <f>1/AB368</f>
        <v>0.49816167374463649</v>
      </c>
      <c r="AB368" s="61">
        <f>AB382/Y368*Y382</f>
        <v>2.0073804403359454</v>
      </c>
      <c r="AC368" s="61">
        <f>AC382/Y368*Y382</f>
        <v>4.1820425840332192</v>
      </c>
      <c r="AD368" s="752">
        <f t="shared" si="229"/>
        <v>0</v>
      </c>
      <c r="AE368" s="720"/>
      <c r="AF368" s="722">
        <f>AD368</f>
        <v>0</v>
      </c>
      <c r="AG368" s="721"/>
      <c r="AH368" s="721"/>
      <c r="AI368" s="721"/>
      <c r="AJ368" s="721"/>
      <c r="AK368" s="721"/>
      <c r="AL368" s="721"/>
      <c r="AM368" s="721"/>
      <c r="AN368" s="721"/>
      <c r="AO368" s="721"/>
      <c r="AP368" s="721"/>
      <c r="AQ368" s="723"/>
      <c r="AR368" s="645">
        <f>V368*T365</f>
        <v>0</v>
      </c>
      <c r="AU368" s="70"/>
      <c r="AV368" s="70"/>
      <c r="AW368" s="70"/>
      <c r="AX368" s="70"/>
      <c r="AY368" s="70"/>
      <c r="AZ368" s="70"/>
      <c r="BA368" s="70"/>
    </row>
    <row r="369" spans="3:53" ht="15.75" customHeight="1" x14ac:dyDescent="0.25">
      <c r="C369" s="580"/>
      <c r="D369" s="532"/>
      <c r="E369" s="546"/>
      <c r="F369" s="364"/>
      <c r="G369" s="473"/>
      <c r="H369" s="827"/>
      <c r="I369" s="538"/>
      <c r="J369" s="473"/>
      <c r="K369" s="1342"/>
      <c r="L369" s="1334"/>
      <c r="M369" s="538"/>
      <c r="N369" s="367"/>
      <c r="O369" s="911" t="s">
        <v>74</v>
      </c>
      <c r="P369" s="912">
        <f>Q369*M365</f>
        <v>1345.6738643185715</v>
      </c>
      <c r="Q369" s="913">
        <f>Q229</f>
        <v>2.8750000000000001E-2</v>
      </c>
      <c r="R369" s="912">
        <f>S369*D365</f>
        <v>162.00739335337306</v>
      </c>
      <c r="S369" s="914">
        <f>Q369*Z373/(Q366*Z367+Q367*Z371+Q368*Z372+Q369*Z373)</f>
        <v>2.5844339540589539E-2</v>
      </c>
      <c r="T369" s="520">
        <f>S369*T365</f>
        <v>15133.354103907934</v>
      </c>
      <c r="U369" s="487" t="str">
        <f t="shared" si="227"/>
        <v>ICE Plug-in hybrid vehicle Diesel</v>
      </c>
      <c r="V369" s="1577">
        <f t="shared" si="230"/>
        <v>0</v>
      </c>
      <c r="W369" s="694">
        <f>AB369*74</f>
        <v>68.369763206698025</v>
      </c>
      <c r="X369" s="61"/>
      <c r="Y369" s="347">
        <f>Y290</f>
        <v>0.72450000000000003</v>
      </c>
      <c r="Z369" s="61">
        <f>1/((AB369/42700)/0.84*1000)</f>
        <v>38.821722871492575</v>
      </c>
      <c r="AA369" s="61">
        <f>1/AB369</f>
        <v>1.082349806833182</v>
      </c>
      <c r="AB369" s="61">
        <f>AB382/Y369*Y382</f>
        <v>0.9239157190094327</v>
      </c>
      <c r="AC369" s="61">
        <f>AC382/Y369*Y382</f>
        <v>1.9248244146029847</v>
      </c>
      <c r="AD369" s="752">
        <f t="shared" si="229"/>
        <v>0</v>
      </c>
      <c r="AE369" s="720"/>
      <c r="AF369" s="722">
        <f>AD369*$AW$17</f>
        <v>0</v>
      </c>
      <c r="AG369" s="721"/>
      <c r="AH369" s="721"/>
      <c r="AI369" s="721"/>
      <c r="AJ369" s="721"/>
      <c r="AK369" s="721"/>
      <c r="AL369" s="721"/>
      <c r="AM369" s="721"/>
      <c r="AN369" s="721"/>
      <c r="AO369" s="722">
        <f>AD369*$AX$17</f>
        <v>0</v>
      </c>
      <c r="AP369" s="721"/>
      <c r="AQ369" s="723"/>
      <c r="AR369" s="645">
        <f>V369*T365</f>
        <v>0</v>
      </c>
      <c r="AU369" s="70"/>
      <c r="AV369" s="70"/>
      <c r="AW369" s="70"/>
      <c r="AX369" s="70"/>
      <c r="AY369" s="70"/>
      <c r="AZ369" s="70"/>
      <c r="BA369" s="70"/>
    </row>
    <row r="370" spans="3:53" ht="15.75" customHeight="1" x14ac:dyDescent="0.25">
      <c r="C370" s="580"/>
      <c r="D370" s="532"/>
      <c r="E370" s="546"/>
      <c r="F370" s="364"/>
      <c r="G370" s="473"/>
      <c r="H370" s="827"/>
      <c r="I370" s="538"/>
      <c r="J370" s="473"/>
      <c r="K370" s="1342"/>
      <c r="L370" s="1334"/>
      <c r="M370" s="538"/>
      <c r="N370" s="367"/>
      <c r="T370" s="524"/>
      <c r="U370" s="487" t="s">
        <v>483</v>
      </c>
      <c r="V370" s="1577">
        <f t="shared" si="230"/>
        <v>0</v>
      </c>
      <c r="W370" s="694"/>
      <c r="X370" s="61"/>
      <c r="Y370" s="347">
        <f>Y367</f>
        <v>0.25</v>
      </c>
      <c r="Z370" s="61">
        <f>Z367</f>
        <v>13.396039638196195</v>
      </c>
      <c r="AA370" s="61">
        <f>AA367</f>
        <v>0.3734816448699731</v>
      </c>
      <c r="AB370" s="628">
        <f>AB367</f>
        <v>2.6775077536893361</v>
      </c>
      <c r="AC370" s="61">
        <f>AC367</f>
        <v>5.5781411535194501</v>
      </c>
      <c r="AD370" s="752">
        <f t="shared" si="229"/>
        <v>0</v>
      </c>
      <c r="AE370" s="725"/>
      <c r="AF370" s="727"/>
      <c r="AG370" s="721"/>
      <c r="AH370" s="721"/>
      <c r="AI370" s="721"/>
      <c r="AJ370" s="721"/>
      <c r="AK370" s="738">
        <f>AD370</f>
        <v>0</v>
      </c>
      <c r="AL370" s="721"/>
      <c r="AM370" s="721"/>
      <c r="AN370" s="721"/>
      <c r="AO370" s="721"/>
      <c r="AP370" s="721"/>
      <c r="AQ370" s="723"/>
      <c r="AR370" s="645">
        <f>V370*T365</f>
        <v>0</v>
      </c>
      <c r="AU370" s="70"/>
      <c r="AV370" s="70"/>
      <c r="AW370" s="70"/>
      <c r="AX370" s="70"/>
      <c r="AY370" s="70"/>
      <c r="AZ370" s="70"/>
      <c r="BA370" s="70"/>
    </row>
    <row r="371" spans="3:53" ht="15.75" customHeight="1" x14ac:dyDescent="0.25">
      <c r="C371" s="580"/>
      <c r="D371" s="532"/>
      <c r="E371" s="546"/>
      <c r="F371" s="364"/>
      <c r="G371" s="473"/>
      <c r="H371" s="827"/>
      <c r="I371" s="538"/>
      <c r="J371" s="473"/>
      <c r="K371" s="1342"/>
      <c r="L371" s="1334"/>
      <c r="M371" s="538"/>
      <c r="N371" s="367"/>
      <c r="T371" s="524"/>
      <c r="U371" s="487" t="str">
        <f>U231</f>
        <v>ICE Petrol</v>
      </c>
      <c r="V371" s="1577">
        <f t="shared" si="230"/>
        <v>0</v>
      </c>
      <c r="W371" s="694">
        <f>AB371*73</f>
        <v>207.93411278651226</v>
      </c>
      <c r="X371" s="61"/>
      <c r="Y371" s="347">
        <f>Y292</f>
        <v>0.23499999999999999</v>
      </c>
      <c r="Z371" s="61">
        <f>1/((AB371/43800)/0.75*1000)</f>
        <v>11.532739711939898</v>
      </c>
      <c r="AA371" s="61">
        <f>1/AB371</f>
        <v>0.35107274617777473</v>
      </c>
      <c r="AB371" s="628">
        <f>AB382/Y371*Y382</f>
        <v>2.8484125039248256</v>
      </c>
      <c r="AC371" s="61">
        <f>AC382/Y371*Y382</f>
        <v>5.9341927165100534</v>
      </c>
      <c r="AD371" s="752">
        <f t="shared" si="229"/>
        <v>0</v>
      </c>
      <c r="AE371" s="726">
        <f>AD371</f>
        <v>0</v>
      </c>
      <c r="AF371" s="727"/>
      <c r="AG371" s="721"/>
      <c r="AH371" s="721"/>
      <c r="AI371" s="721"/>
      <c r="AJ371" s="721"/>
      <c r="AK371" s="721"/>
      <c r="AL371" s="721"/>
      <c r="AM371" s="721"/>
      <c r="AN371" s="721"/>
      <c r="AO371" s="721"/>
      <c r="AP371" s="721"/>
      <c r="AQ371" s="723"/>
      <c r="AR371" s="645">
        <f>V371*T365</f>
        <v>0</v>
      </c>
      <c r="AU371" s="70"/>
      <c r="AV371" s="70"/>
      <c r="AW371" s="70"/>
      <c r="AX371" s="70"/>
      <c r="AY371" s="70"/>
      <c r="AZ371" s="70"/>
      <c r="BA371" s="70"/>
    </row>
    <row r="372" spans="3:53" ht="15.75" customHeight="1" x14ac:dyDescent="0.25">
      <c r="C372" s="580"/>
      <c r="D372" s="532"/>
      <c r="E372" s="546"/>
      <c r="F372" s="364"/>
      <c r="G372" s="473"/>
      <c r="H372" s="827"/>
      <c r="I372" s="538"/>
      <c r="J372" s="473"/>
      <c r="K372" s="1342"/>
      <c r="L372" s="1334"/>
      <c r="M372" s="538"/>
      <c r="N372" s="367"/>
      <c r="T372" s="524"/>
      <c r="U372" s="487" t="str">
        <f>U232</f>
        <v>ICE Bioethanol</v>
      </c>
      <c r="V372" s="1577">
        <f t="shared" si="230"/>
        <v>0</v>
      </c>
      <c r="W372" s="694"/>
      <c r="X372" s="61"/>
      <c r="Y372" s="347">
        <f>Y293</f>
        <v>0.23499999999999999</v>
      </c>
      <c r="Z372" s="61">
        <f>1/((AB372/26700)/0.79*1000)</f>
        <v>7.4051774351278015</v>
      </c>
      <c r="AA372" s="61">
        <f>1/AB372</f>
        <v>0.35107274617777473</v>
      </c>
      <c r="AB372" s="61">
        <f>AB382/Y372*Y382</f>
        <v>2.8484125039248256</v>
      </c>
      <c r="AC372" s="61">
        <f>AC382/Y372*Y382</f>
        <v>5.9341927165100534</v>
      </c>
      <c r="AD372" s="752">
        <f t="shared" si="229"/>
        <v>0</v>
      </c>
      <c r="AE372" s="720"/>
      <c r="AF372" s="721"/>
      <c r="AG372" s="721"/>
      <c r="AH372" s="721"/>
      <c r="AI372" s="721"/>
      <c r="AJ372" s="722">
        <f>AD372</f>
        <v>0</v>
      </c>
      <c r="AK372" s="741"/>
      <c r="AL372" s="721"/>
      <c r="AM372" s="721"/>
      <c r="AN372" s="721"/>
      <c r="AO372" s="721"/>
      <c r="AP372" s="721"/>
      <c r="AQ372" s="723"/>
      <c r="AR372" s="645">
        <f>V372*T365</f>
        <v>0</v>
      </c>
      <c r="AU372" s="70"/>
      <c r="AV372" s="70"/>
      <c r="AW372" s="70"/>
      <c r="AX372" s="70"/>
      <c r="AY372" s="70"/>
      <c r="AZ372" s="70"/>
      <c r="BA372" s="70"/>
    </row>
    <row r="373" spans="3:53" ht="15.75" customHeight="1" x14ac:dyDescent="0.25">
      <c r="C373" s="580"/>
      <c r="D373" s="532"/>
      <c r="E373" s="546"/>
      <c r="F373" s="364"/>
      <c r="G373" s="473"/>
      <c r="H373" s="827"/>
      <c r="I373" s="538"/>
      <c r="J373" s="473"/>
      <c r="K373" s="1342"/>
      <c r="L373" s="1334"/>
      <c r="M373" s="538"/>
      <c r="N373" s="367"/>
      <c r="T373" s="524"/>
      <c r="U373" s="487" t="str">
        <f>U233</f>
        <v>ICE Bio-methanol</v>
      </c>
      <c r="V373" s="1577">
        <f t="shared" si="230"/>
        <v>0</v>
      </c>
      <c r="W373" s="694"/>
      <c r="X373" s="61"/>
      <c r="Y373" s="347">
        <f>Y294</f>
        <v>0.25</v>
      </c>
      <c r="Z373" s="61">
        <f>1/((AB373/37600)/0.84*1000)</f>
        <v>11.79604427157323</v>
      </c>
      <c r="AA373" s="61">
        <f>1/AB373</f>
        <v>0.3734816448699731</v>
      </c>
      <c r="AB373" s="61">
        <f>AB382/Y373*Y382</f>
        <v>2.6775077536893361</v>
      </c>
      <c r="AC373" s="61">
        <f>AC382/Y373*Y382</f>
        <v>5.5781411535194501</v>
      </c>
      <c r="AD373" s="752">
        <f t="shared" si="229"/>
        <v>0</v>
      </c>
      <c r="AE373" s="720"/>
      <c r="AF373" s="721"/>
      <c r="AG373" s="721"/>
      <c r="AI373" s="722">
        <f>+AD373</f>
        <v>0</v>
      </c>
      <c r="AJ373" s="721"/>
      <c r="AK373" s="721"/>
      <c r="AL373" s="721"/>
      <c r="AM373" s="721"/>
      <c r="AN373" s="721"/>
      <c r="AO373" s="721"/>
      <c r="AP373" s="721"/>
      <c r="AQ373" s="723"/>
      <c r="AR373" s="645">
        <f>V373*T365</f>
        <v>0</v>
      </c>
      <c r="AU373" s="70"/>
      <c r="AV373" s="70"/>
      <c r="AW373" s="70"/>
      <c r="AX373" s="70"/>
      <c r="AY373" s="70"/>
      <c r="AZ373" s="70"/>
      <c r="BA373" s="70"/>
    </row>
    <row r="374" spans="3:53" ht="15.75" customHeight="1" x14ac:dyDescent="0.25">
      <c r="C374" s="580"/>
      <c r="D374" s="532"/>
      <c r="E374" s="448"/>
      <c r="F374" s="371"/>
      <c r="G374" s="473"/>
      <c r="H374" s="828"/>
      <c r="I374" s="532"/>
      <c r="J374" s="417"/>
      <c r="K374" s="553"/>
      <c r="L374" s="432"/>
      <c r="M374" s="691"/>
      <c r="N374" s="367"/>
      <c r="O374" s="435"/>
      <c r="P374" s="691"/>
      <c r="Q374" s="436"/>
      <c r="R374" s="532"/>
      <c r="S374" s="366"/>
      <c r="T374" s="521"/>
      <c r="U374" s="487" t="str">
        <f>U234</f>
        <v>ICE hybrid vehicle Bio-methanol</v>
      </c>
      <c r="V374" s="1577">
        <f t="shared" si="230"/>
        <v>0</v>
      </c>
      <c r="W374" s="694"/>
      <c r="X374" s="61"/>
      <c r="Y374" s="347">
        <f>Y295</f>
        <v>0.33345793601053042</v>
      </c>
      <c r="Z374" s="61">
        <f>1/((AB374/37600)/0.84*1000)</f>
        <v>15.733938303550602</v>
      </c>
      <c r="AA374" s="61">
        <f>1/AB374</f>
        <v>0.49816167374463649</v>
      </c>
      <c r="AB374" s="61">
        <f>AB382/Y374*Y382</f>
        <v>2.0073804403359454</v>
      </c>
      <c r="AC374" s="61">
        <f>AC382/Y374*Y382</f>
        <v>4.1820425840332192</v>
      </c>
      <c r="AD374" s="752">
        <f t="shared" si="229"/>
        <v>0</v>
      </c>
      <c r="AE374" s="720"/>
      <c r="AF374" s="721"/>
      <c r="AG374" s="721"/>
      <c r="AH374" s="721"/>
      <c r="AI374" s="722">
        <f>AD374</f>
        <v>0</v>
      </c>
      <c r="AJ374" s="721"/>
      <c r="AK374" s="721"/>
      <c r="AL374" s="721"/>
      <c r="AM374" s="721"/>
      <c r="AN374" s="721"/>
      <c r="AO374" s="721"/>
      <c r="AP374" s="721"/>
      <c r="AQ374" s="723"/>
      <c r="AR374" s="645">
        <f>V374*T365</f>
        <v>0</v>
      </c>
      <c r="AU374" s="70"/>
      <c r="AV374" s="70"/>
      <c r="AW374" s="70"/>
      <c r="AX374" s="70"/>
      <c r="AY374" s="70"/>
      <c r="AZ374" s="70"/>
      <c r="BA374" s="70"/>
    </row>
    <row r="375" spans="3:53" ht="15.75" customHeight="1" x14ac:dyDescent="0.25">
      <c r="C375" s="580"/>
      <c r="D375" s="532"/>
      <c r="E375" s="448"/>
      <c r="F375" s="371"/>
      <c r="G375" s="436"/>
      <c r="H375" s="828"/>
      <c r="I375" s="532"/>
      <c r="J375" s="417"/>
      <c r="K375" s="553"/>
      <c r="L375" s="432"/>
      <c r="M375" s="691"/>
      <c r="N375" s="367"/>
      <c r="O375" s="435"/>
      <c r="P375" s="691"/>
      <c r="Q375" s="436"/>
      <c r="R375" s="532"/>
      <c r="S375" s="366"/>
      <c r="T375" s="521"/>
      <c r="U375" s="487" t="str">
        <f>U235</f>
        <v>ICE Plug-in hybrid vehicle Bio-methanol</v>
      </c>
      <c r="V375" s="1577">
        <f t="shared" si="230"/>
        <v>0</v>
      </c>
      <c r="W375" s="694"/>
      <c r="X375" s="61"/>
      <c r="Y375" s="347">
        <f>Y296</f>
        <v>0.72450000000000003</v>
      </c>
      <c r="Z375" s="61">
        <f>1/((AB375/37600)/0.84*1000)</f>
        <v>34.18493629901922</v>
      </c>
      <c r="AA375" s="61">
        <f>1/AB375</f>
        <v>1.082349806833182</v>
      </c>
      <c r="AB375" s="61">
        <f>AB382/Y375*Y382</f>
        <v>0.9239157190094327</v>
      </c>
      <c r="AC375" s="61">
        <f>AC382/Y375*Y382</f>
        <v>1.9248244146029847</v>
      </c>
      <c r="AD375" s="752">
        <f t="shared" si="229"/>
        <v>0</v>
      </c>
      <c r="AE375" s="720"/>
      <c r="AF375" s="721"/>
      <c r="AG375" s="721"/>
      <c r="AH375" s="721"/>
      <c r="AI375" s="722">
        <f>AD375*$AW$17</f>
        <v>0</v>
      </c>
      <c r="AJ375" s="721"/>
      <c r="AK375" s="721"/>
      <c r="AL375" s="721"/>
      <c r="AM375" s="721"/>
      <c r="AN375" s="721"/>
      <c r="AO375" s="722">
        <f>AD375*$AX$17</f>
        <v>0</v>
      </c>
      <c r="AP375" s="721"/>
      <c r="AQ375" s="723"/>
      <c r="AR375" s="645">
        <f>V375*T365</f>
        <v>0</v>
      </c>
      <c r="AU375" s="70"/>
      <c r="AV375" s="70"/>
      <c r="AW375" s="70"/>
      <c r="AX375" s="70"/>
      <c r="AY375" s="70"/>
      <c r="AZ375" s="70"/>
      <c r="BA375" s="70"/>
    </row>
    <row r="376" spans="3:53" ht="15.75" customHeight="1" x14ac:dyDescent="0.25">
      <c r="C376" s="580"/>
      <c r="D376" s="532"/>
      <c r="E376" s="448"/>
      <c r="F376" s="371"/>
      <c r="G376" s="436"/>
      <c r="H376" s="828"/>
      <c r="I376" s="532"/>
      <c r="J376" s="417"/>
      <c r="K376" s="553"/>
      <c r="L376" s="432"/>
      <c r="M376" s="691"/>
      <c r="N376" s="367"/>
      <c r="O376" s="435"/>
      <c r="P376" s="691"/>
      <c r="Q376" s="436"/>
      <c r="R376" s="532"/>
      <c r="S376" s="366"/>
      <c r="T376" s="521"/>
      <c r="U376" s="487" t="s">
        <v>412</v>
      </c>
      <c r="V376" s="1577">
        <f>V236</f>
        <v>0</v>
      </c>
      <c r="W376" s="694"/>
      <c r="X376" s="61">
        <f t="shared" ref="X376:AB377" si="231">X367</f>
        <v>0</v>
      </c>
      <c r="Y376" s="362">
        <f t="shared" si="231"/>
        <v>0.25</v>
      </c>
      <c r="Z376" s="61">
        <f t="shared" si="231"/>
        <v>13.396039638196195</v>
      </c>
      <c r="AA376" s="61">
        <f t="shared" si="231"/>
        <v>0.3734816448699731</v>
      </c>
      <c r="AB376" s="61">
        <f t="shared" si="231"/>
        <v>2.6775077536893361</v>
      </c>
      <c r="AC376" s="61">
        <f>AB376/H365</f>
        <v>5.5781411535194501</v>
      </c>
      <c r="AD376" s="752">
        <f t="shared" si="229"/>
        <v>0</v>
      </c>
      <c r="AE376" s="720"/>
      <c r="AF376" s="727"/>
      <c r="AG376" s="721"/>
      <c r="AH376" s="722">
        <f>AD376</f>
        <v>0</v>
      </c>
      <c r="AI376" s="721"/>
      <c r="AJ376" s="721"/>
      <c r="AK376" s="721"/>
      <c r="AL376" s="721"/>
      <c r="AM376" s="721"/>
      <c r="AN376" s="721"/>
      <c r="AO376" s="721"/>
      <c r="AP376" s="721"/>
      <c r="AQ376" s="723"/>
      <c r="AR376" s="645">
        <f>V376*T365</f>
        <v>0</v>
      </c>
      <c r="AU376" s="70"/>
      <c r="AV376" s="70"/>
      <c r="AW376" s="70"/>
      <c r="AX376" s="70"/>
      <c r="AY376" s="70"/>
      <c r="AZ376" s="70"/>
      <c r="BA376" s="70"/>
    </row>
    <row r="377" spans="3:53" ht="15.75" customHeight="1" x14ac:dyDescent="0.25">
      <c r="C377" s="580"/>
      <c r="D377" s="532"/>
      <c r="E377" s="448"/>
      <c r="F377" s="371"/>
      <c r="G377" s="436"/>
      <c r="H377" s="828"/>
      <c r="I377" s="532"/>
      <c r="J377" s="417"/>
      <c r="K377" s="553"/>
      <c r="L377" s="432"/>
      <c r="M377" s="691"/>
      <c r="N377" s="367"/>
      <c r="O377" s="435"/>
      <c r="P377" s="691"/>
      <c r="Q377" s="436"/>
      <c r="R377" s="532"/>
      <c r="S377" s="366"/>
      <c r="T377" s="521"/>
      <c r="U377" s="487" t="s">
        <v>413</v>
      </c>
      <c r="V377" s="1577">
        <f>V237</f>
        <v>0</v>
      </c>
      <c r="W377" s="694"/>
      <c r="X377" s="61">
        <f t="shared" si="231"/>
        <v>0</v>
      </c>
      <c r="Y377" s="362">
        <f t="shared" si="231"/>
        <v>0.33345793601053042</v>
      </c>
      <c r="Z377" s="61">
        <f t="shared" si="231"/>
        <v>17.868062913872624</v>
      </c>
      <c r="AA377" s="61">
        <f t="shared" si="231"/>
        <v>0.49816167374463649</v>
      </c>
      <c r="AB377" s="61">
        <f t="shared" si="231"/>
        <v>2.0073804403359454</v>
      </c>
      <c r="AC377" s="61">
        <f>AB377/H365</f>
        <v>4.18204258403322</v>
      </c>
      <c r="AD377" s="752">
        <f t="shared" si="229"/>
        <v>0</v>
      </c>
      <c r="AE377" s="720"/>
      <c r="AF377" s="727"/>
      <c r="AG377" s="721"/>
      <c r="AH377" s="722">
        <f>AD377</f>
        <v>0</v>
      </c>
      <c r="AI377" s="721"/>
      <c r="AJ377" s="721"/>
      <c r="AK377" s="721"/>
      <c r="AL377" s="721"/>
      <c r="AM377" s="721"/>
      <c r="AN377" s="721"/>
      <c r="AO377" s="721"/>
      <c r="AP377" s="721"/>
      <c r="AQ377" s="723"/>
      <c r="AR377" s="645">
        <f>V377*T365</f>
        <v>0</v>
      </c>
      <c r="AU377" s="1526"/>
      <c r="AV377" s="1526"/>
      <c r="AW377" s="1526"/>
      <c r="AX377" s="1526"/>
      <c r="AY377" s="1526"/>
      <c r="AZ377" s="70"/>
      <c r="BA377" s="70"/>
    </row>
    <row r="378" spans="3:53" ht="15.75" customHeight="1" x14ac:dyDescent="0.25">
      <c r="C378" s="580"/>
      <c r="D378" s="532"/>
      <c r="E378" s="448"/>
      <c r="F378" s="371"/>
      <c r="G378" s="436"/>
      <c r="H378" s="828"/>
      <c r="I378" s="532"/>
      <c r="J378" s="417"/>
      <c r="K378" s="553"/>
      <c r="L378" s="432"/>
      <c r="M378" s="691"/>
      <c r="N378" s="367"/>
      <c r="O378" s="435"/>
      <c r="P378" s="691"/>
      <c r="Q378" s="436"/>
      <c r="R378" s="532"/>
      <c r="S378" s="1525"/>
      <c r="T378" s="521"/>
      <c r="U378" s="487" t="s">
        <v>414</v>
      </c>
      <c r="V378" s="1577">
        <f>V238</f>
        <v>0</v>
      </c>
      <c r="W378" s="694"/>
      <c r="X378" s="61">
        <f>X367</f>
        <v>0</v>
      </c>
      <c r="Y378" s="362">
        <f>Y375</f>
        <v>0.72450000000000003</v>
      </c>
      <c r="Z378" s="61">
        <f>Z369</f>
        <v>38.821722871492575</v>
      </c>
      <c r="AA378" s="61">
        <f>AA369</f>
        <v>1.082349806833182</v>
      </c>
      <c r="AB378" s="61">
        <f>AB369</f>
        <v>0.9239157190094327</v>
      </c>
      <c r="AC378" s="61">
        <f>AB378/H365</f>
        <v>1.9248244146029849</v>
      </c>
      <c r="AD378" s="752">
        <f t="shared" si="229"/>
        <v>0</v>
      </c>
      <c r="AE378" s="720"/>
      <c r="AF378" s="727"/>
      <c r="AG378" s="721"/>
      <c r="AH378" s="722">
        <f>AD378*$AW$17</f>
        <v>0</v>
      </c>
      <c r="AI378" s="721"/>
      <c r="AJ378" s="721"/>
      <c r="AK378" s="721"/>
      <c r="AL378" s="721"/>
      <c r="AM378" s="721"/>
      <c r="AN378" s="721"/>
      <c r="AO378" s="722">
        <f>AD378*$AX$17</f>
        <v>0</v>
      </c>
      <c r="AP378" s="721"/>
      <c r="AQ378" s="723"/>
      <c r="AR378" s="645">
        <f>V378*T365</f>
        <v>0</v>
      </c>
      <c r="AU378" s="894"/>
      <c r="AV378" s="894"/>
      <c r="AW378" s="894"/>
      <c r="AX378" s="894"/>
      <c r="AY378" s="894"/>
      <c r="AZ378" s="1526"/>
      <c r="BA378" s="1526"/>
    </row>
    <row r="379" spans="3:53" ht="15.75" customHeight="1" x14ac:dyDescent="0.25">
      <c r="C379" s="580"/>
      <c r="D379" s="532"/>
      <c r="E379" s="448"/>
      <c r="F379" s="371"/>
      <c r="G379" s="436"/>
      <c r="H379" s="828"/>
      <c r="I379" s="532"/>
      <c r="J379" s="417"/>
      <c r="K379" s="553"/>
      <c r="L379" s="432"/>
      <c r="M379" s="691"/>
      <c r="N379" s="367"/>
      <c r="O379" s="435"/>
      <c r="P379" s="691"/>
      <c r="Q379" s="436"/>
      <c r="R379" s="532"/>
      <c r="S379" s="895"/>
      <c r="T379" s="521"/>
      <c r="U379" s="487" t="str">
        <f t="shared" ref="U379:V381" si="232">U239</f>
        <v>Fuel cell hybrid vehicle Syn-methanol</v>
      </c>
      <c r="V379" s="1577">
        <f t="shared" si="232"/>
        <v>0</v>
      </c>
      <c r="W379" s="694"/>
      <c r="X379" s="61"/>
      <c r="Y379" s="347">
        <f>Y300</f>
        <v>0.6</v>
      </c>
      <c r="Z379" s="61"/>
      <c r="AA379" s="61">
        <f t="shared" si="228"/>
        <v>0.89635594768793536</v>
      </c>
      <c r="AB379" s="61">
        <f>AB382/Y379*Y382</f>
        <v>1.1156282307038901</v>
      </c>
      <c r="AC379" s="61">
        <f>AC382/Y379*Y382</f>
        <v>2.3242254806331042</v>
      </c>
      <c r="AD379" s="752">
        <f t="shared" ref="AD379:AD382" si="233">AC379*V379*$D$365</f>
        <v>0</v>
      </c>
      <c r="AE379" s="720"/>
      <c r="AF379" s="721"/>
      <c r="AG379" s="721"/>
      <c r="AH379" s="722">
        <f>AD379</f>
        <v>0</v>
      </c>
      <c r="AI379" s="721"/>
      <c r="AJ379" s="721"/>
      <c r="AK379" s="721"/>
      <c r="AL379" s="721"/>
      <c r="AM379" s="721"/>
      <c r="AN379" s="721"/>
      <c r="AO379" s="721"/>
      <c r="AP379" s="721"/>
      <c r="AQ379" s="721"/>
      <c r="AR379" s="645">
        <f>V379*T365</f>
        <v>0</v>
      </c>
      <c r="AU379" s="894"/>
      <c r="AV379" s="894"/>
      <c r="AW379" s="894"/>
      <c r="AX379" s="894"/>
      <c r="AY379" s="894"/>
      <c r="AZ379" s="894"/>
      <c r="BA379" s="894"/>
    </row>
    <row r="380" spans="3:53" ht="15.75" customHeight="1" x14ac:dyDescent="0.25">
      <c r="C380" s="580"/>
      <c r="D380" s="532"/>
      <c r="E380" s="448"/>
      <c r="F380" s="371"/>
      <c r="G380" s="436"/>
      <c r="H380" s="828"/>
      <c r="I380" s="532"/>
      <c r="J380" s="417"/>
      <c r="K380" s="553"/>
      <c r="L380" s="432"/>
      <c r="M380" s="691"/>
      <c r="N380" s="367"/>
      <c r="O380" s="435"/>
      <c r="P380" s="691"/>
      <c r="Q380" s="436"/>
      <c r="R380" s="532"/>
      <c r="S380" s="895"/>
      <c r="T380" s="521"/>
      <c r="U380" s="487" t="str">
        <f t="shared" si="232"/>
        <v>Plug-in fuel cell hybrid vehicle Electricity &amp; Syn-methanol</v>
      </c>
      <c r="V380" s="1577">
        <f t="shared" si="232"/>
        <v>0</v>
      </c>
      <c r="W380" s="694"/>
      <c r="X380" s="61"/>
      <c r="Y380" s="347">
        <f>Y301</f>
        <v>0.81861107121816934</v>
      </c>
      <c r="Z380" s="61"/>
      <c r="AA380" s="61">
        <f t="shared" si="228"/>
        <v>1.2229448375493304</v>
      </c>
      <c r="AB380" s="61">
        <f>AB382/Y380*Y382</f>
        <v>0.8176983697841258</v>
      </c>
      <c r="AC380" s="61">
        <f>AC382/Y380*Y382</f>
        <v>1.7035382703835955</v>
      </c>
      <c r="AD380" s="752">
        <f t="shared" si="233"/>
        <v>0</v>
      </c>
      <c r="AE380" s="720"/>
      <c r="AF380" s="721"/>
      <c r="AG380" s="721"/>
      <c r="AH380" s="722">
        <f>AD380*$AU$17</f>
        <v>0</v>
      </c>
      <c r="AI380" s="721"/>
      <c r="AJ380" s="721"/>
      <c r="AK380" s="721"/>
      <c r="AL380" s="721"/>
      <c r="AM380" s="721"/>
      <c r="AN380" s="721"/>
      <c r="AO380" s="722">
        <f>AD380*$AV$17</f>
        <v>0</v>
      </c>
      <c r="AP380" s="721"/>
      <c r="AQ380" s="721"/>
      <c r="AR380" s="645">
        <f>V380*T365</f>
        <v>0</v>
      </c>
      <c r="AU380" s="894"/>
      <c r="AV380" s="894"/>
      <c r="AW380" s="894"/>
      <c r="AX380" s="894"/>
      <c r="AY380" s="894"/>
      <c r="AZ380" s="894"/>
      <c r="BA380" s="894"/>
    </row>
    <row r="381" spans="3:53" ht="15.75" customHeight="1" thickBot="1" x14ac:dyDescent="0.3">
      <c r="C381" s="580"/>
      <c r="D381" s="532"/>
      <c r="E381" s="448"/>
      <c r="F381" s="364"/>
      <c r="G381" s="473"/>
      <c r="H381" s="827"/>
      <c r="I381" s="538"/>
      <c r="J381" s="473"/>
      <c r="K381" s="1342"/>
      <c r="L381" s="1334"/>
      <c r="M381" s="691"/>
      <c r="N381" s="367"/>
      <c r="O381" s="435"/>
      <c r="P381" s="691"/>
      <c r="Q381" s="436"/>
      <c r="R381" s="532"/>
      <c r="S381" s="895"/>
      <c r="T381" s="521"/>
      <c r="U381" s="487" t="str">
        <f t="shared" si="232"/>
        <v>ICE Biogas</v>
      </c>
      <c r="V381" s="1578">
        <f t="shared" si="232"/>
        <v>0</v>
      </c>
      <c r="W381" s="694"/>
      <c r="X381" s="61"/>
      <c r="Y381" s="347">
        <f>Y302</f>
        <v>0.23500000000000001</v>
      </c>
      <c r="Z381" s="61"/>
      <c r="AA381" s="61">
        <f t="shared" si="228"/>
        <v>0.35107274617777473</v>
      </c>
      <c r="AB381" s="61">
        <f>AB382/Y381*Y382</f>
        <v>2.8484125039248256</v>
      </c>
      <c r="AC381" s="61">
        <f>AC382/Y381*Y382</f>
        <v>5.9341927165100525</v>
      </c>
      <c r="AD381" s="752">
        <f t="shared" si="233"/>
        <v>0</v>
      </c>
      <c r="AE381" s="720"/>
      <c r="AF381" s="721"/>
      <c r="AG381" s="721"/>
      <c r="AH381" s="721"/>
      <c r="AI381" s="721"/>
      <c r="AJ381" s="721"/>
      <c r="AK381" s="721"/>
      <c r="AL381" s="722">
        <f>AD381</f>
        <v>0</v>
      </c>
      <c r="AM381" s="721"/>
      <c r="AN381" s="721"/>
      <c r="AO381" s="721"/>
      <c r="AP381" s="721"/>
      <c r="AQ381" s="723"/>
      <c r="AR381" s="645">
        <f>V381*T365</f>
        <v>0</v>
      </c>
      <c r="AU381" s="70"/>
      <c r="AV381" s="70"/>
      <c r="AW381" s="70"/>
      <c r="AX381" s="70"/>
      <c r="AY381" s="70"/>
      <c r="AZ381" s="894"/>
      <c r="BA381" s="894"/>
    </row>
    <row r="382" spans="3:53" ht="15.75" customHeight="1" x14ac:dyDescent="0.25">
      <c r="C382" s="581"/>
      <c r="D382" s="705"/>
      <c r="E382" s="456"/>
      <c r="F382" s="385"/>
      <c r="G382" s="663"/>
      <c r="H382" s="1356"/>
      <c r="I382" s="692"/>
      <c r="J382" s="663"/>
      <c r="K382" s="1359"/>
      <c r="L382" s="1357"/>
      <c r="M382" s="695"/>
      <c r="N382" s="785"/>
      <c r="O382" s="442"/>
      <c r="P382" s="695"/>
      <c r="Q382" s="443"/>
      <c r="R382" s="705"/>
      <c r="S382" s="390"/>
      <c r="T382" s="524"/>
      <c r="U382" s="904" t="str">
        <f t="shared" ref="U382:U396" si="234">U242</f>
        <v>No shift in technology</v>
      </c>
      <c r="V382" s="410">
        <f>1-SUM(V366:V381)</f>
        <v>1</v>
      </c>
      <c r="W382" s="532">
        <f>AB382*73.5</f>
        <v>263.42752332322857</v>
      </c>
      <c r="X382" s="616"/>
      <c r="Y382" s="58">
        <f>Y303</f>
        <v>0.18676562096996055</v>
      </c>
      <c r="Z382" s="411"/>
      <c r="AA382" s="411"/>
      <c r="AB382" s="411">
        <f>L365</f>
        <v>3.5840479363704567</v>
      </c>
      <c r="AC382" s="432">
        <f>K365</f>
        <v>7.4667665341051181</v>
      </c>
      <c r="AD382" s="748">
        <f t="shared" si="233"/>
        <v>46806.047454559011</v>
      </c>
      <c r="AE382" s="728">
        <f>+AD382*Q367</f>
        <v>1395.099593779214</v>
      </c>
      <c r="AF382" s="729">
        <f>AD382*Q366</f>
        <v>42719.600132142652</v>
      </c>
      <c r="AG382" s="730"/>
      <c r="AH382" s="730"/>
      <c r="AI382" s="893"/>
      <c r="AJ382" s="729">
        <f>AD382*Q368</f>
        <v>1345.6738643185715</v>
      </c>
      <c r="AK382" s="729">
        <f>AD382*Q369</f>
        <v>1345.6738643185715</v>
      </c>
      <c r="AL382" s="730"/>
      <c r="AM382" s="730"/>
      <c r="AN382" s="730"/>
      <c r="AO382" s="730"/>
      <c r="AP382" s="730"/>
      <c r="AQ382" s="731"/>
      <c r="AR382" s="645">
        <f>T365-SUM(V366:V381)*T365</f>
        <v>585557.7806560084</v>
      </c>
      <c r="AU382" s="70"/>
      <c r="AV382" s="70"/>
      <c r="AW382" s="70"/>
      <c r="AX382" s="70"/>
      <c r="AY382" s="70"/>
      <c r="AZ382" s="70"/>
      <c r="BA382" s="70"/>
    </row>
    <row r="383" spans="3:53" ht="15.75" customHeight="1" thickBot="1" x14ac:dyDescent="0.3">
      <c r="C383" s="582" t="str">
        <f>C243</f>
        <v xml:space="preserve">National rail </v>
      </c>
      <c r="D383" s="693">
        <f>SUM(D384:D385)</f>
        <v>167</v>
      </c>
      <c r="E383" s="392">
        <f>D383/D421</f>
        <v>1.2640455899769749E-3</v>
      </c>
      <c r="F383" s="1329">
        <f>((F384*I384)+(F385*I385)+(F386*I386))/(I384+I385+I386)</f>
        <v>750</v>
      </c>
      <c r="G383" s="1320">
        <f>H383/F383</f>
        <v>0.37</v>
      </c>
      <c r="H383" s="1328">
        <f>((H384*I384)+(H385*I385)+(H386*I386))/(I384+I385+I386)</f>
        <v>277.5</v>
      </c>
      <c r="I383" s="759">
        <f>D383/H383</f>
        <v>0.60180180180180176</v>
      </c>
      <c r="J383" s="795">
        <f>J385+J384</f>
        <v>3.8399915026897517E-5</v>
      </c>
      <c r="K383" s="1324">
        <f>L383/H383</f>
        <v>0.33009009009009005</v>
      </c>
      <c r="L383" s="1328">
        <f>((L384*I384)+(L385*I385)+(L386*I386))/(I384+I385+I386)</f>
        <v>91.6</v>
      </c>
      <c r="M383" s="693">
        <f>SUM(M384:M385)</f>
        <v>55.125045045045042</v>
      </c>
      <c r="N383" s="413">
        <f>M383/M421</f>
        <v>4.5111108548575869E-4</v>
      </c>
      <c r="O383" s="682" t="s">
        <v>60</v>
      </c>
      <c r="P383" s="759">
        <f>SUM(P384:P385)</f>
        <v>55.125045045045042</v>
      </c>
      <c r="Q383" s="801">
        <f>SUM(Q384:Q385)</f>
        <v>1</v>
      </c>
      <c r="R383" s="759">
        <f>SUM(R384:R385)</f>
        <v>167</v>
      </c>
      <c r="S383" s="797">
        <f>SUM(S384:S385)</f>
        <v>1</v>
      </c>
      <c r="T383" s="680"/>
      <c r="U383" s="1553" t="str">
        <f t="shared" si="234"/>
        <v xml:space="preserve">Sum </v>
      </c>
      <c r="V383" s="619"/>
      <c r="W383" s="762"/>
      <c r="X383" s="447"/>
      <c r="Y383" s="619"/>
      <c r="Z383" s="447"/>
      <c r="AA383" s="447"/>
      <c r="AB383" s="620"/>
      <c r="AC383" s="620"/>
      <c r="AD383" s="749">
        <f>SUM(AD384:AD388)</f>
        <v>55.125045045045042</v>
      </c>
      <c r="AE383" s="725"/>
      <c r="AF383" s="721"/>
      <c r="AG383" s="721"/>
      <c r="AH383" s="721"/>
      <c r="AI383" s="721"/>
      <c r="AJ383" s="721"/>
      <c r="AK383" s="721"/>
      <c r="AL383" s="721"/>
      <c r="AM383" s="721"/>
      <c r="AN383" s="721"/>
      <c r="AO383" s="721"/>
      <c r="AP383" s="721"/>
      <c r="AQ383" s="721"/>
      <c r="AR383" s="651"/>
      <c r="AU383" s="70"/>
      <c r="AV383" s="70"/>
      <c r="AW383" s="70"/>
      <c r="AX383" s="70"/>
      <c r="AY383" s="70"/>
      <c r="AZ383" s="70"/>
      <c r="BA383" s="70"/>
    </row>
    <row r="384" spans="3:53" ht="15.75" customHeight="1" x14ac:dyDescent="0.25">
      <c r="C384" s="580" t="str">
        <f>C244</f>
        <v>National rail (diesel)</v>
      </c>
      <c r="D384" s="532">
        <f>((D243*0*(1+'Growth, Modal Shift, InfraCosts'!G59)^'Growth, Modal Shift, InfraCosts'!$H$4))</f>
        <v>0</v>
      </c>
      <c r="E384" s="448">
        <f>D384/D421</f>
        <v>0</v>
      </c>
      <c r="F384" s="364">
        <v>750</v>
      </c>
      <c r="G384" s="425">
        <v>0.37</v>
      </c>
      <c r="H384" s="827">
        <f>F384*G384</f>
        <v>277.5</v>
      </c>
      <c r="I384" s="538">
        <f>D384/H384</f>
        <v>0</v>
      </c>
      <c r="J384" s="473">
        <f>I384/I421</f>
        <v>0</v>
      </c>
      <c r="K384" s="1342">
        <f>L384/H384</f>
        <v>0.75783783783783787</v>
      </c>
      <c r="L384" s="1343">
        <v>210.3</v>
      </c>
      <c r="M384" s="691">
        <f>D384*K384</f>
        <v>0</v>
      </c>
      <c r="N384" s="367">
        <f>M384/M421</f>
        <v>0</v>
      </c>
      <c r="O384" s="450" t="s">
        <v>3</v>
      </c>
      <c r="P384" s="532">
        <f>M384</f>
        <v>0</v>
      </c>
      <c r="Q384" s="436">
        <f>P384/SUM(P384:P385)</f>
        <v>0</v>
      </c>
      <c r="R384" s="532">
        <f>D384</f>
        <v>0</v>
      </c>
      <c r="S384" s="367">
        <f>R384/SUM(R384:R385)</f>
        <v>0</v>
      </c>
      <c r="T384" s="525"/>
      <c r="U384" s="487" t="str">
        <f t="shared" si="234"/>
        <v>Syn-methanol trains</v>
      </c>
      <c r="V384" s="294">
        <f>V244</f>
        <v>0</v>
      </c>
      <c r="W384" s="532"/>
      <c r="X384" s="4"/>
      <c r="Y384" s="4"/>
      <c r="Z384" s="432"/>
      <c r="AA384" s="432"/>
      <c r="AB384" s="432">
        <f>L384</f>
        <v>210.3</v>
      </c>
      <c r="AC384" s="432">
        <f>K384</f>
        <v>0.75783783783783787</v>
      </c>
      <c r="AD384" s="748">
        <f>AC384*D383*V384</f>
        <v>0</v>
      </c>
      <c r="AE384" s="725"/>
      <c r="AF384" s="721"/>
      <c r="AG384" s="721"/>
      <c r="AH384" s="722">
        <f>AD384</f>
        <v>0</v>
      </c>
      <c r="AJ384" s="721"/>
      <c r="AK384" s="721"/>
      <c r="AL384" s="721"/>
      <c r="AM384" s="721"/>
      <c r="AN384" s="721"/>
      <c r="AO384" s="721"/>
      <c r="AP384" s="721"/>
      <c r="AQ384" s="721"/>
      <c r="AR384" s="649"/>
      <c r="AU384" s="70"/>
      <c r="AV384" s="70"/>
      <c r="AW384" s="70"/>
      <c r="AX384" s="70"/>
      <c r="AY384" s="70"/>
      <c r="AZ384" s="70"/>
      <c r="BA384" s="70"/>
    </row>
    <row r="385" spans="3:53" ht="15.75" customHeight="1" thickBot="1" x14ac:dyDescent="0.3">
      <c r="C385" s="580" t="str">
        <f>C245</f>
        <v>National rail (electricity)</v>
      </c>
      <c r="D385" s="532">
        <f>((D243*(1+'Growth, Modal Shift, InfraCosts'!G60)^'Growth, Modal Shift, InfraCosts'!$H$4))+'Growth, Modal Shift, InfraCosts'!S51*(D203*(1+'Growth, Modal Shift, InfraCosts'!G49)^'Growth, Modal Shift, InfraCosts'!$H$4)+'Growth, Modal Shift, InfraCosts'!S52*(D204*(1+'Growth, Modal Shift, InfraCosts'!G50)^'Growth, Modal Shift, InfraCosts'!$H$4)</f>
        <v>167</v>
      </c>
      <c r="E385" s="448">
        <f>D385/D421</f>
        <v>1.2640455899769749E-3</v>
      </c>
      <c r="F385" s="364">
        <v>750</v>
      </c>
      <c r="G385" s="426">
        <v>0.37</v>
      </c>
      <c r="H385" s="827">
        <f>F385*G385</f>
        <v>277.5</v>
      </c>
      <c r="I385" s="538">
        <f>D385/H385</f>
        <v>0.60180180180180176</v>
      </c>
      <c r="J385" s="473">
        <f>I385/I421</f>
        <v>3.8399915026897517E-5</v>
      </c>
      <c r="K385" s="1342">
        <f>L385/H385</f>
        <v>0.33009009009009005</v>
      </c>
      <c r="L385" s="1345">
        <v>91.6</v>
      </c>
      <c r="M385" s="691">
        <f>D385*K385</f>
        <v>55.125045045045042</v>
      </c>
      <c r="N385" s="367">
        <f>M385/M421</f>
        <v>4.5111108548575869E-4</v>
      </c>
      <c r="O385" s="450" t="s">
        <v>5</v>
      </c>
      <c r="P385" s="532">
        <f>M385</f>
        <v>55.125045045045042</v>
      </c>
      <c r="Q385" s="417">
        <f>P385/SUM(P384:P385)</f>
        <v>1</v>
      </c>
      <c r="R385" s="532">
        <f>D385</f>
        <v>167</v>
      </c>
      <c r="S385" s="367">
        <f>R385/SUM(R384:R385)</f>
        <v>1</v>
      </c>
      <c r="T385" s="524"/>
      <c r="U385" s="487" t="str">
        <f t="shared" si="234"/>
        <v>Electric trains</v>
      </c>
      <c r="V385" s="375">
        <f>V245</f>
        <v>0</v>
      </c>
      <c r="W385" s="532"/>
      <c r="X385" s="4"/>
      <c r="Y385" s="4"/>
      <c r="Z385" s="432"/>
      <c r="AA385" s="432"/>
      <c r="AB385" s="432">
        <f>L385</f>
        <v>91.6</v>
      </c>
      <c r="AC385" s="432">
        <f>K385</f>
        <v>0.33009009009009005</v>
      </c>
      <c r="AD385" s="748">
        <f>AC385*D383*V385</f>
        <v>0</v>
      </c>
      <c r="AE385" s="725"/>
      <c r="AF385" s="721"/>
      <c r="AG385" s="721"/>
      <c r="AH385" s="721"/>
      <c r="AI385" s="721"/>
      <c r="AJ385" s="721"/>
      <c r="AK385" s="721"/>
      <c r="AL385" s="721"/>
      <c r="AM385" s="721"/>
      <c r="AN385" s="721"/>
      <c r="AO385" s="721"/>
      <c r="AP385" s="722">
        <f>+AD385</f>
        <v>0</v>
      </c>
      <c r="AQ385" s="721"/>
      <c r="AR385" s="649"/>
      <c r="AU385" s="70"/>
      <c r="AV385" s="70"/>
      <c r="AW385" s="70"/>
      <c r="AX385" s="70"/>
      <c r="AY385" s="70"/>
      <c r="AZ385" s="70"/>
      <c r="BA385" s="70"/>
    </row>
    <row r="386" spans="3:53" ht="15.75" customHeight="1" x14ac:dyDescent="0.25">
      <c r="C386" s="580"/>
      <c r="D386" s="532"/>
      <c r="E386" s="448"/>
      <c r="F386" s="364"/>
      <c r="G386" s="364"/>
      <c r="H386" s="827"/>
      <c r="I386" s="538"/>
      <c r="J386" s="473"/>
      <c r="K386" s="1342"/>
      <c r="L386" s="364"/>
      <c r="M386" s="691"/>
      <c r="N386" s="367"/>
      <c r="T386" s="524"/>
      <c r="U386" s="487" t="str">
        <f t="shared" si="234"/>
        <v>Diesel trains</v>
      </c>
      <c r="V386" s="375">
        <f>V246</f>
        <v>0</v>
      </c>
      <c r="W386" s="532">
        <f>AB386*74</f>
        <v>15562.2</v>
      </c>
      <c r="X386" s="4"/>
      <c r="Y386" s="4"/>
      <c r="Z386" s="432"/>
      <c r="AA386" s="432"/>
      <c r="AB386" s="432">
        <f>AB384</f>
        <v>210.3</v>
      </c>
      <c r="AC386" s="432">
        <f>AC384</f>
        <v>0.75783783783783787</v>
      </c>
      <c r="AD386" s="748">
        <f>AC386*D383*V386</f>
        <v>0</v>
      </c>
      <c r="AE386" s="725"/>
      <c r="AF386" s="722">
        <f>AD386</f>
        <v>0</v>
      </c>
      <c r="AG386" s="721"/>
      <c r="AH386" s="721"/>
      <c r="AI386" s="721"/>
      <c r="AJ386" s="721"/>
      <c r="AK386" s="721"/>
      <c r="AL386" s="721"/>
      <c r="AM386" s="721"/>
      <c r="AN386" s="721"/>
      <c r="AO386" s="721"/>
      <c r="AP386" s="721"/>
      <c r="AQ386" s="721"/>
      <c r="AR386" s="649"/>
      <c r="AU386" s="894"/>
      <c r="AV386" s="894"/>
      <c r="AW386" s="894"/>
      <c r="AX386" s="894"/>
      <c r="AY386" s="894"/>
      <c r="AZ386" s="70"/>
      <c r="BA386" s="70"/>
    </row>
    <row r="387" spans="3:53" ht="15.75" customHeight="1" thickBot="1" x14ac:dyDescent="0.3">
      <c r="C387" s="580"/>
      <c r="D387" s="532"/>
      <c r="E387" s="448"/>
      <c r="F387" s="416"/>
      <c r="G387" s="416"/>
      <c r="H387" s="829"/>
      <c r="I387" s="532"/>
      <c r="J387" s="417"/>
      <c r="K387" s="553"/>
      <c r="L387" s="416"/>
      <c r="M387" s="691"/>
      <c r="N387" s="367"/>
      <c r="T387" s="524"/>
      <c r="U387" s="487" t="str">
        <f t="shared" si="234"/>
        <v>Bio-methanol trains</v>
      </c>
      <c r="V387" s="295">
        <f>V247</f>
        <v>0</v>
      </c>
      <c r="W387" s="532"/>
      <c r="X387" s="4"/>
      <c r="Y387" s="4"/>
      <c r="Z387" s="432"/>
      <c r="AA387" s="432"/>
      <c r="AB387" s="432">
        <f>AB386</f>
        <v>210.3</v>
      </c>
      <c r="AC387" s="432">
        <f>AC386</f>
        <v>0.75783783783783787</v>
      </c>
      <c r="AD387" s="748">
        <f>AC387*D383*V387</f>
        <v>0</v>
      </c>
      <c r="AE387" s="725"/>
      <c r="AF387" s="721"/>
      <c r="AG387" s="721"/>
      <c r="AH387" s="721"/>
      <c r="AI387" s="722">
        <f>AD387</f>
        <v>0</v>
      </c>
      <c r="AJ387" s="721"/>
      <c r="AK387" s="721"/>
      <c r="AL387" s="721"/>
      <c r="AM387" s="721"/>
      <c r="AN387" s="721"/>
      <c r="AO387" s="721"/>
      <c r="AP387" s="721"/>
      <c r="AQ387" s="721"/>
      <c r="AR387" s="649"/>
      <c r="AU387" s="70"/>
      <c r="AV387" s="70"/>
      <c r="AW387" s="70"/>
      <c r="AX387" s="70"/>
      <c r="AY387" s="70"/>
      <c r="AZ387" s="894"/>
      <c r="BA387" s="894"/>
    </row>
    <row r="388" spans="3:53" ht="15.75" customHeight="1" thickBot="1" x14ac:dyDescent="0.3">
      <c r="C388" s="580"/>
      <c r="D388" s="532"/>
      <c r="E388" s="448"/>
      <c r="F388" s="416"/>
      <c r="G388" s="404"/>
      <c r="H388" s="830"/>
      <c r="I388" s="705"/>
      <c r="J388" s="458"/>
      <c r="K388" s="553"/>
      <c r="L388" s="432"/>
      <c r="M388" s="691"/>
      <c r="N388" s="367"/>
      <c r="T388" s="523"/>
      <c r="U388" s="487" t="str">
        <f t="shared" si="234"/>
        <v>No shift in technology</v>
      </c>
      <c r="V388" s="410">
        <f>1-SUM(V384:V387)</f>
        <v>1</v>
      </c>
      <c r="W388" s="705"/>
      <c r="X388" s="384"/>
      <c r="Y388" s="384"/>
      <c r="Z388" s="439"/>
      <c r="AA388" s="439"/>
      <c r="AB388" s="439">
        <f>L383</f>
        <v>91.6</v>
      </c>
      <c r="AC388" s="439">
        <f>K383</f>
        <v>0.33009009009009005</v>
      </c>
      <c r="AD388" s="748">
        <f>AC388*V388*D383</f>
        <v>55.125045045045042</v>
      </c>
      <c r="AE388" s="732"/>
      <c r="AF388" s="729">
        <f>+AD388*Q384</f>
        <v>0</v>
      </c>
      <c r="AG388" s="730"/>
      <c r="AH388" s="730"/>
      <c r="AI388" s="730"/>
      <c r="AJ388" s="730"/>
      <c r="AK388" s="730"/>
      <c r="AL388" s="730"/>
      <c r="AM388" s="730"/>
      <c r="AN388" s="730"/>
      <c r="AO388" s="730"/>
      <c r="AP388" s="729">
        <f>AD388*Q385</f>
        <v>55.125045045045042</v>
      </c>
      <c r="AQ388" s="730"/>
      <c r="AR388" s="652"/>
      <c r="AU388" s="70"/>
      <c r="AV388" s="70"/>
      <c r="AW388" s="70"/>
      <c r="AX388" s="70"/>
      <c r="AY388" s="70"/>
      <c r="AZ388" s="70"/>
      <c r="BA388" s="70"/>
    </row>
    <row r="389" spans="3:53" ht="15.75" customHeight="1" thickBot="1" x14ac:dyDescent="0.3">
      <c r="C389" s="582" t="str">
        <f>C249</f>
        <v>International rail (electricity)</v>
      </c>
      <c r="D389" s="693">
        <f>((D249*(1+'Growth, Modal Shift, InfraCosts'!G61)^'Growth, Modal Shift, InfraCosts'!$H$4))+'Growth, Modal Shift, InfraCosts'!S53*(D216*(1+'Growth, Modal Shift, InfraCosts'!G54)^'Growth, Modal Shift, InfraCosts'!$H$4)</f>
        <v>595.66828004277352</v>
      </c>
      <c r="E389" s="392">
        <f>D389/D421</f>
        <v>4.5086937872888481E-3</v>
      </c>
      <c r="F389" s="56">
        <v>1000</v>
      </c>
      <c r="G389" s="453">
        <v>0.37</v>
      </c>
      <c r="H389" s="820">
        <f>F389*G389</f>
        <v>370</v>
      </c>
      <c r="I389" s="529">
        <f>D389/H389</f>
        <v>1.6099142703858744</v>
      </c>
      <c r="J389" s="539">
        <f>I389/I421</f>
        <v>1.0272579942153009E-4</v>
      </c>
      <c r="K389" s="552">
        <f>L389/H389</f>
        <v>0.27999999999999997</v>
      </c>
      <c r="L389" s="452">
        <v>103.6</v>
      </c>
      <c r="M389" s="693">
        <f>D389*K389</f>
        <v>166.78711841197656</v>
      </c>
      <c r="N389" s="413">
        <f>M389/M421</f>
        <v>1.3648881006879372E-3</v>
      </c>
      <c r="O389" s="682" t="s">
        <v>60</v>
      </c>
      <c r="P389" s="759">
        <f>SUM(P390:P391)</f>
        <v>166.78711841197656</v>
      </c>
      <c r="Q389" s="801">
        <f>SUM(Q390:Q391)</f>
        <v>1</v>
      </c>
      <c r="R389" s="759">
        <f>SUM(R390:R391)</f>
        <v>595.66828004277352</v>
      </c>
      <c r="S389" s="797">
        <f>SUM(S390:S391)</f>
        <v>1</v>
      </c>
      <c r="T389" s="680"/>
      <c r="U389" s="1553" t="str">
        <f t="shared" si="234"/>
        <v xml:space="preserve">Sum </v>
      </c>
      <c r="V389" s="619"/>
      <c r="W389" s="762"/>
      <c r="X389" s="447"/>
      <c r="Y389" s="619"/>
      <c r="Z389" s="447"/>
      <c r="AA389" s="447"/>
      <c r="AB389" s="447"/>
      <c r="AC389" s="447"/>
      <c r="AD389" s="749">
        <f>SUM(AD390:AD394)</f>
        <v>166.78711841197656</v>
      </c>
      <c r="AE389" s="725"/>
      <c r="AF389" s="721"/>
      <c r="AG389" s="721"/>
      <c r="AH389" s="721"/>
      <c r="AI389" s="721"/>
      <c r="AJ389" s="721"/>
      <c r="AK389" s="721"/>
      <c r="AL389" s="721"/>
      <c r="AM389" s="721"/>
      <c r="AN389" s="721"/>
      <c r="AO389" s="721"/>
      <c r="AP389" s="721"/>
      <c r="AQ389" s="721"/>
      <c r="AR389" s="651"/>
      <c r="AU389" s="70"/>
      <c r="AV389" s="70"/>
      <c r="AW389" s="70"/>
      <c r="AX389" s="70"/>
      <c r="AY389" s="70"/>
      <c r="AZ389" s="70"/>
      <c r="BA389" s="70"/>
    </row>
    <row r="390" spans="3:53" ht="15.75" customHeight="1" x14ac:dyDescent="0.25">
      <c r="C390" s="583"/>
      <c r="D390" s="532"/>
      <c r="E390" s="448"/>
      <c r="F390" s="416"/>
      <c r="G390" s="405"/>
      <c r="H390" s="829"/>
      <c r="I390" s="532"/>
      <c r="J390" s="417"/>
      <c r="K390" s="553"/>
      <c r="L390" s="432"/>
      <c r="M390" s="532"/>
      <c r="N390" s="367"/>
      <c r="O390" s="450" t="s">
        <v>3</v>
      </c>
      <c r="P390" s="532">
        <f>M390</f>
        <v>0</v>
      </c>
      <c r="Q390" s="436">
        <f>P390/SUM(P390:P391)</f>
        <v>0</v>
      </c>
      <c r="R390" s="532">
        <f>D390</f>
        <v>0</v>
      </c>
      <c r="S390" s="367">
        <f>R390/SUM(R390:R391)</f>
        <v>0</v>
      </c>
      <c r="T390" s="525"/>
      <c r="U390" s="487" t="str">
        <f t="shared" si="234"/>
        <v>Syn-methanol trains</v>
      </c>
      <c r="V390" s="294">
        <f>V250</f>
        <v>0</v>
      </c>
      <c r="W390" s="532"/>
      <c r="X390" s="4"/>
      <c r="Y390" s="4"/>
      <c r="Z390" s="432"/>
      <c r="AA390" s="432"/>
      <c r="AB390" s="432">
        <f>AB384</f>
        <v>210.3</v>
      </c>
      <c r="AC390" s="432">
        <f>AC384</f>
        <v>0.75783783783783787</v>
      </c>
      <c r="AD390" s="748">
        <f>AC390*D389*V390</f>
        <v>0</v>
      </c>
      <c r="AE390" s="725"/>
      <c r="AF390" s="721"/>
      <c r="AG390" s="721"/>
      <c r="AH390" s="722">
        <f>AD390</f>
        <v>0</v>
      </c>
      <c r="AJ390" s="721"/>
      <c r="AK390" s="721"/>
      <c r="AL390" s="721"/>
      <c r="AM390" s="721"/>
      <c r="AN390" s="721"/>
      <c r="AO390" s="721"/>
      <c r="AP390" s="721"/>
      <c r="AQ390" s="721"/>
      <c r="AR390" s="649"/>
      <c r="AU390" s="70"/>
      <c r="AV390" s="70"/>
      <c r="AW390" s="70"/>
      <c r="AX390" s="70"/>
      <c r="AY390" s="70"/>
      <c r="AZ390" s="70"/>
      <c r="BA390" s="70"/>
    </row>
    <row r="391" spans="3:53" ht="15.75" customHeight="1" x14ac:dyDescent="0.25">
      <c r="C391" s="583"/>
      <c r="D391" s="532"/>
      <c r="E391" s="448"/>
      <c r="F391" s="416"/>
      <c r="G391" s="416"/>
      <c r="H391" s="829"/>
      <c r="I391" s="532"/>
      <c r="J391" s="417"/>
      <c r="K391" s="553"/>
      <c r="L391" s="416"/>
      <c r="M391" s="691"/>
      <c r="N391" s="367"/>
      <c r="O391" s="450" t="s">
        <v>5</v>
      </c>
      <c r="P391" s="532">
        <f>M389</f>
        <v>166.78711841197656</v>
      </c>
      <c r="Q391" s="417">
        <f>P391/P391</f>
        <v>1</v>
      </c>
      <c r="R391" s="532">
        <f>D389</f>
        <v>595.66828004277352</v>
      </c>
      <c r="S391" s="367">
        <f>R391/R391</f>
        <v>1</v>
      </c>
      <c r="T391" s="524"/>
      <c r="U391" s="487" t="str">
        <f t="shared" si="234"/>
        <v>Electric trains</v>
      </c>
      <c r="V391" s="375">
        <f>V251</f>
        <v>0</v>
      </c>
      <c r="W391" s="532"/>
      <c r="X391" s="4"/>
      <c r="Y391" s="4"/>
      <c r="Z391" s="432"/>
      <c r="AA391" s="432"/>
      <c r="AB391" s="432">
        <f>L389</f>
        <v>103.6</v>
      </c>
      <c r="AC391" s="432">
        <f>K389</f>
        <v>0.27999999999999997</v>
      </c>
      <c r="AD391" s="748">
        <f>AC391*D389*V391</f>
        <v>0</v>
      </c>
      <c r="AE391" s="725"/>
      <c r="AF391" s="721"/>
      <c r="AG391" s="721"/>
      <c r="AH391" s="721"/>
      <c r="AI391" s="721"/>
      <c r="AJ391" s="721"/>
      <c r="AK391" s="721"/>
      <c r="AL391" s="721"/>
      <c r="AM391" s="721"/>
      <c r="AN391" s="721"/>
      <c r="AO391" s="721"/>
      <c r="AP391" s="722">
        <f>+AD391</f>
        <v>0</v>
      </c>
      <c r="AQ391" s="721"/>
      <c r="AR391" s="649"/>
      <c r="AU391" s="70"/>
      <c r="AV391" s="70"/>
      <c r="AW391" s="70"/>
      <c r="AX391" s="70"/>
      <c r="AY391" s="70"/>
      <c r="AZ391" s="70"/>
      <c r="BA391" s="70"/>
    </row>
    <row r="392" spans="3:53" ht="15.75" customHeight="1" x14ac:dyDescent="0.25">
      <c r="C392" s="583"/>
      <c r="D392" s="532"/>
      <c r="E392" s="448"/>
      <c r="F392" s="416"/>
      <c r="G392" s="405"/>
      <c r="H392" s="829"/>
      <c r="I392" s="532"/>
      <c r="J392" s="417"/>
      <c r="K392" s="553"/>
      <c r="L392" s="432"/>
      <c r="M392" s="532"/>
      <c r="N392" s="367"/>
      <c r="T392" s="524"/>
      <c r="U392" s="487" t="str">
        <f t="shared" si="234"/>
        <v>Diesel trains</v>
      </c>
      <c r="V392" s="375">
        <f>V252</f>
        <v>0</v>
      </c>
      <c r="W392" s="532">
        <f>AB392*74</f>
        <v>15562.2</v>
      </c>
      <c r="X392" s="4"/>
      <c r="Y392" s="4"/>
      <c r="Z392" s="432"/>
      <c r="AA392" s="432"/>
      <c r="AB392" s="432">
        <f>AB390</f>
        <v>210.3</v>
      </c>
      <c r="AC392" s="432">
        <f>AC390</f>
        <v>0.75783783783783787</v>
      </c>
      <c r="AD392" s="748">
        <f>AC392*D389*V392</f>
        <v>0</v>
      </c>
      <c r="AE392" s="725"/>
      <c r="AF392" s="722">
        <f>AD392</f>
        <v>0</v>
      </c>
      <c r="AG392" s="721"/>
      <c r="AH392" s="721"/>
      <c r="AI392" s="721"/>
      <c r="AJ392" s="721"/>
      <c r="AK392" s="721"/>
      <c r="AL392" s="721"/>
      <c r="AM392" s="721"/>
      <c r="AN392" s="721"/>
      <c r="AO392" s="721"/>
      <c r="AP392" s="721"/>
      <c r="AQ392" s="721"/>
      <c r="AR392" s="649"/>
      <c r="AU392" s="894"/>
      <c r="AV392" s="894"/>
      <c r="AW392" s="894"/>
      <c r="AX392" s="894"/>
      <c r="AY392" s="894"/>
      <c r="AZ392" s="70"/>
      <c r="BA392" s="70"/>
    </row>
    <row r="393" spans="3:53" ht="15.75" customHeight="1" thickBot="1" x14ac:dyDescent="0.3">
      <c r="C393" s="583"/>
      <c r="D393" s="532"/>
      <c r="E393" s="448"/>
      <c r="F393" s="416"/>
      <c r="G393" s="405"/>
      <c r="H393" s="829"/>
      <c r="I393" s="532"/>
      <c r="J393" s="417"/>
      <c r="K393" s="553"/>
      <c r="L393" s="432"/>
      <c r="M393" s="532"/>
      <c r="N393" s="367"/>
      <c r="T393" s="524"/>
      <c r="U393" s="487" t="str">
        <f t="shared" si="234"/>
        <v>Bio-methanol trains</v>
      </c>
      <c r="V393" s="295">
        <f>V253</f>
        <v>0</v>
      </c>
      <c r="W393" s="532"/>
      <c r="X393" s="4"/>
      <c r="Y393" s="4"/>
      <c r="Z393" s="432"/>
      <c r="AA393" s="432"/>
      <c r="AB393" s="432">
        <f>AB392</f>
        <v>210.3</v>
      </c>
      <c r="AC393" s="432">
        <f>AC392</f>
        <v>0.75783783783783787</v>
      </c>
      <c r="AD393" s="748">
        <f>AC393*D389*V393</f>
        <v>0</v>
      </c>
      <c r="AE393" s="725"/>
      <c r="AF393" s="721"/>
      <c r="AG393" s="721"/>
      <c r="AH393" s="721"/>
      <c r="AI393" s="722">
        <f>AD393</f>
        <v>0</v>
      </c>
      <c r="AJ393" s="721"/>
      <c r="AK393" s="721"/>
      <c r="AL393" s="721"/>
      <c r="AM393" s="721"/>
      <c r="AN393" s="721"/>
      <c r="AO393" s="721"/>
      <c r="AP393" s="721"/>
      <c r="AQ393" s="721"/>
      <c r="AR393" s="649"/>
      <c r="AU393" s="70"/>
      <c r="AV393" s="70"/>
      <c r="AW393" s="70"/>
      <c r="AX393" s="70"/>
      <c r="AY393" s="70"/>
      <c r="AZ393" s="894"/>
      <c r="BA393" s="894"/>
    </row>
    <row r="394" spans="3:53" ht="15.75" customHeight="1" thickBot="1" x14ac:dyDescent="0.3">
      <c r="C394" s="583"/>
      <c r="D394" s="532"/>
      <c r="E394" s="448"/>
      <c r="F394" s="416"/>
      <c r="G394" s="404"/>
      <c r="H394" s="830"/>
      <c r="I394" s="705"/>
      <c r="J394" s="458"/>
      <c r="K394" s="553"/>
      <c r="L394" s="432"/>
      <c r="M394" s="532"/>
      <c r="N394" s="367"/>
      <c r="T394" s="523"/>
      <c r="U394" s="487" t="str">
        <f t="shared" si="234"/>
        <v>No shift in technology</v>
      </c>
      <c r="V394" s="410">
        <f>1-SUM(V390:V393)</f>
        <v>1</v>
      </c>
      <c r="W394" s="705"/>
      <c r="X394" s="384"/>
      <c r="Y394" s="384"/>
      <c r="Z394" s="384"/>
      <c r="AA394" s="384"/>
      <c r="AB394" s="439">
        <f>L389</f>
        <v>103.6</v>
      </c>
      <c r="AC394" s="439">
        <f>K389</f>
        <v>0.27999999999999997</v>
      </c>
      <c r="AD394" s="748">
        <f>AC394*V394*D389</f>
        <v>166.78711841197656</v>
      </c>
      <c r="AE394" s="732"/>
      <c r="AF394" s="729">
        <f>+AD394*Q390</f>
        <v>0</v>
      </c>
      <c r="AG394" s="730"/>
      <c r="AH394" s="730"/>
      <c r="AI394" s="730"/>
      <c r="AJ394" s="730"/>
      <c r="AK394" s="730"/>
      <c r="AL394" s="730"/>
      <c r="AM394" s="730"/>
      <c r="AN394" s="730"/>
      <c r="AO394" s="730"/>
      <c r="AP394" s="729">
        <f>AD394*Q391</f>
        <v>166.78711841197656</v>
      </c>
      <c r="AQ394" s="730"/>
      <c r="AR394" s="652"/>
      <c r="AU394" s="70"/>
      <c r="AV394" s="70"/>
      <c r="AW394" s="70"/>
      <c r="AX394" s="70"/>
      <c r="AY394" s="70"/>
      <c r="AZ394" s="70"/>
      <c r="BA394" s="70"/>
    </row>
    <row r="395" spans="3:53" ht="15.75" customHeight="1" thickBot="1" x14ac:dyDescent="0.3">
      <c r="C395" s="586" t="str">
        <f>C255</f>
        <v>National air</v>
      </c>
      <c r="D395" s="693">
        <f>((D255*(1+'Growth, Modal Shift, InfraCosts'!G62)^'Growth, Modal Shift, InfraCosts'!$H$4))</f>
        <v>1.107</v>
      </c>
      <c r="E395" s="392">
        <f>D395/D421</f>
        <v>8.379032743140785E-6</v>
      </c>
      <c r="F395" s="542">
        <v>25</v>
      </c>
      <c r="G395" s="453">
        <v>0.6</v>
      </c>
      <c r="H395" s="820">
        <f>F395*G395</f>
        <v>15</v>
      </c>
      <c r="I395" s="529">
        <f>D395/H395</f>
        <v>7.3800000000000004E-2</v>
      </c>
      <c r="J395" s="539">
        <f>I395/I421</f>
        <v>4.7090482622356159E-6</v>
      </c>
      <c r="K395" s="552">
        <f>L395/H395</f>
        <v>8.061596504889506</v>
      </c>
      <c r="L395" s="452">
        <f>L115*$AX$10</f>
        <v>120.92394757334259</v>
      </c>
      <c r="M395" s="693">
        <f>D395*K395</f>
        <v>8.9241873309126838</v>
      </c>
      <c r="N395" s="413">
        <f>M395/M421</f>
        <v>7.3030322798586781E-5</v>
      </c>
      <c r="O395" s="682" t="s">
        <v>60</v>
      </c>
      <c r="P395" s="759">
        <f>SUM(P396)</f>
        <v>8.9241873309126838</v>
      </c>
      <c r="Q395" s="801">
        <f>SUM(Q396)</f>
        <v>1</v>
      </c>
      <c r="R395" s="759">
        <f>SUM(R396)</f>
        <v>1.107</v>
      </c>
      <c r="S395" s="797">
        <f>SUM(S396)</f>
        <v>1</v>
      </c>
      <c r="T395" s="680"/>
      <c r="U395" s="492" t="str">
        <f t="shared" si="234"/>
        <v>Sum</v>
      </c>
      <c r="V395" s="890"/>
      <c r="W395" s="762"/>
      <c r="X395" s="447"/>
      <c r="Y395" s="619"/>
      <c r="Z395" s="447"/>
      <c r="AA395" s="447"/>
      <c r="AB395" s="447"/>
      <c r="AC395" s="447"/>
      <c r="AD395" s="749">
        <f>SUM(AD396:AD398)</f>
        <v>8.9241873309126838</v>
      </c>
      <c r="AE395" s="720"/>
      <c r="AF395" s="721"/>
      <c r="AG395" s="721"/>
      <c r="AH395" s="721"/>
      <c r="AI395" s="721"/>
      <c r="AJ395" s="721"/>
      <c r="AK395" s="721"/>
      <c r="AL395" s="721"/>
      <c r="AM395" s="721"/>
      <c r="AN395" s="721"/>
      <c r="AO395" s="721"/>
      <c r="AP395" s="721"/>
      <c r="AQ395" s="721"/>
      <c r="AR395" s="651"/>
      <c r="AU395" s="70"/>
      <c r="AV395" s="70"/>
      <c r="AW395" s="70"/>
      <c r="AX395" s="70"/>
      <c r="AY395" s="211"/>
      <c r="AZ395" s="70"/>
      <c r="BA395" s="70"/>
    </row>
    <row r="396" spans="3:53" ht="15.75" customHeight="1" x14ac:dyDescent="0.25">
      <c r="C396" s="584"/>
      <c r="D396" s="532"/>
      <c r="E396" s="448"/>
      <c r="F396" s="416"/>
      <c r="G396" s="405"/>
      <c r="H396" s="829"/>
      <c r="I396" s="532"/>
      <c r="J396" s="417"/>
      <c r="K396" s="553"/>
      <c r="L396" s="432"/>
      <c r="M396" s="770"/>
      <c r="N396" s="367"/>
      <c r="O396" s="450" t="s">
        <v>4</v>
      </c>
      <c r="P396" s="532">
        <f>M395</f>
        <v>8.9241873309126838</v>
      </c>
      <c r="Q396" s="436">
        <f>P396/P396</f>
        <v>1</v>
      </c>
      <c r="R396" s="532">
        <f>D395</f>
        <v>1.107</v>
      </c>
      <c r="S396" s="367">
        <f>R396/R396</f>
        <v>1</v>
      </c>
      <c r="T396" s="525"/>
      <c r="U396" s="1535" t="str">
        <f t="shared" si="234"/>
        <v>Gas-turbines Bio-jetfuel</v>
      </c>
      <c r="V396" s="294">
        <f>V256</f>
        <v>0</v>
      </c>
      <c r="W396" s="532"/>
      <c r="X396" s="4"/>
      <c r="Y396" s="4"/>
      <c r="Z396" s="4"/>
      <c r="AA396" s="421">
        <f>1/AB396</f>
        <v>8.26966055994394E-3</v>
      </c>
      <c r="AB396" s="416">
        <f>AB398</f>
        <v>120.92394757334259</v>
      </c>
      <c r="AC396" s="411">
        <f>AC398</f>
        <v>8.061596504889506</v>
      </c>
      <c r="AD396" s="748">
        <f>AC396*D395*V396</f>
        <v>0</v>
      </c>
      <c r="AE396" s="720"/>
      <c r="AF396" s="733"/>
      <c r="AG396" s="733"/>
      <c r="AH396" s="733"/>
      <c r="AI396" s="733"/>
      <c r="AJ396" s="733"/>
      <c r="AK396" s="733"/>
      <c r="AL396" s="733"/>
      <c r="AM396" s="722">
        <f>AD396</f>
        <v>0</v>
      </c>
      <c r="AN396" s="721"/>
      <c r="AO396" s="721"/>
      <c r="AP396" s="721"/>
      <c r="AQ396" s="721"/>
      <c r="AR396" s="649"/>
      <c r="AU396" s="70"/>
      <c r="AV396" s="70"/>
      <c r="AW396" s="70"/>
      <c r="AX396" s="70"/>
      <c r="AY396" s="211"/>
      <c r="AZ396" s="211"/>
      <c r="BA396" s="70"/>
    </row>
    <row r="397" spans="3:53" ht="15.75" customHeight="1" thickBot="1" x14ac:dyDescent="0.3">
      <c r="C397" s="584"/>
      <c r="D397" s="532"/>
      <c r="E397" s="448"/>
      <c r="F397" s="416"/>
      <c r="G397" s="405"/>
      <c r="H397" s="829"/>
      <c r="I397" s="532"/>
      <c r="J397" s="417"/>
      <c r="K397" s="553"/>
      <c r="L397" s="432"/>
      <c r="M397" s="770"/>
      <c r="N397" s="367"/>
      <c r="T397" s="524"/>
      <c r="U397" s="1535" t="s">
        <v>98</v>
      </c>
      <c r="V397" s="1578">
        <f>V257</f>
        <v>0</v>
      </c>
      <c r="W397" s="532"/>
      <c r="X397" s="612"/>
      <c r="Y397" s="612"/>
      <c r="Z397" s="421"/>
      <c r="AA397" s="421">
        <f>1/AB397</f>
        <v>8.26966055994394E-3</v>
      </c>
      <c r="AB397" s="416">
        <f>AB398</f>
        <v>120.92394757334259</v>
      </c>
      <c r="AC397" s="411">
        <f>AC398</f>
        <v>8.061596504889506</v>
      </c>
      <c r="AD397" s="748">
        <f>AC397*D395*V397</f>
        <v>0</v>
      </c>
      <c r="AE397" s="736"/>
      <c r="AF397" s="733"/>
      <c r="AG397" s="733"/>
      <c r="AH397" s="733"/>
      <c r="AI397" s="733"/>
      <c r="AJ397" s="733"/>
      <c r="AK397" s="733"/>
      <c r="AL397" s="733"/>
      <c r="AM397" s="733"/>
      <c r="AN397" s="721"/>
      <c r="AO397" s="721"/>
      <c r="AP397" s="721"/>
      <c r="AQ397" s="722">
        <f>AD397</f>
        <v>0</v>
      </c>
      <c r="AR397" s="649"/>
      <c r="AU397" s="70"/>
      <c r="AV397" s="70"/>
      <c r="AW397" s="70"/>
      <c r="AX397" s="70"/>
      <c r="AY397" s="70"/>
      <c r="AZ397" s="211"/>
      <c r="BA397" s="70"/>
    </row>
    <row r="398" spans="3:53" ht="15.75" customHeight="1" thickBot="1" x14ac:dyDescent="0.3">
      <c r="C398" s="584"/>
      <c r="D398" s="532"/>
      <c r="E398" s="448"/>
      <c r="F398" s="416"/>
      <c r="G398" s="404"/>
      <c r="H398" s="830"/>
      <c r="I398" s="705"/>
      <c r="J398" s="458"/>
      <c r="K398" s="553"/>
      <c r="L398" s="432"/>
      <c r="M398" s="770"/>
      <c r="N398" s="367"/>
      <c r="O398" s="450"/>
      <c r="P398" s="532"/>
      <c r="Q398" s="417"/>
      <c r="R398" s="532"/>
      <c r="S398" s="366"/>
      <c r="T398" s="523"/>
      <c r="U398" s="493" t="str">
        <f t="shared" ref="U398:U420" si="235">U258</f>
        <v>No shift in technology</v>
      </c>
      <c r="V398" s="410">
        <f>1-SUM(V396:V397)</f>
        <v>1</v>
      </c>
      <c r="W398" s="705">
        <f>AB398*72</f>
        <v>8706.5242252806656</v>
      </c>
      <c r="X398" s="384"/>
      <c r="Y398" s="384"/>
      <c r="Z398" s="384"/>
      <c r="AA398" s="454">
        <f>1/AB398</f>
        <v>8.26966055994394E-3</v>
      </c>
      <c r="AB398" s="385">
        <f>L395</f>
        <v>120.92394757334259</v>
      </c>
      <c r="AC398" s="406">
        <f>K395</f>
        <v>8.061596504889506</v>
      </c>
      <c r="AD398" s="747">
        <f>AC398*V398*D395</f>
        <v>8.9241873309126838</v>
      </c>
      <c r="AE398" s="734"/>
      <c r="AF398" s="735"/>
      <c r="AG398" s="729">
        <f>+AD398</f>
        <v>8.9241873309126838</v>
      </c>
      <c r="AH398" s="735"/>
      <c r="AI398" s="735"/>
      <c r="AJ398" s="730"/>
      <c r="AK398" s="730"/>
      <c r="AL398" s="730"/>
      <c r="AM398" s="730"/>
      <c r="AN398" s="730"/>
      <c r="AO398" s="730"/>
      <c r="AP398" s="730"/>
      <c r="AQ398" s="730"/>
      <c r="AR398" s="652"/>
      <c r="AU398" s="70"/>
      <c r="AV398" s="70"/>
      <c r="AW398" s="70"/>
      <c r="AX398" s="70"/>
      <c r="AY398" s="70"/>
      <c r="AZ398" s="70"/>
      <c r="BA398" s="70"/>
    </row>
    <row r="399" spans="3:53" ht="15.75" customHeight="1" thickBot="1" x14ac:dyDescent="0.3">
      <c r="C399" s="582" t="str">
        <f>C259</f>
        <v>International air</v>
      </c>
      <c r="D399" s="693">
        <f>((D259*(1+'Growth, Modal Shift, InfraCosts'!G63)^'Growth, Modal Shift, InfraCosts'!$H$4))</f>
        <v>926.59510228875888</v>
      </c>
      <c r="E399" s="392">
        <f>D399/D421</f>
        <v>7.0135236691159855E-3</v>
      </c>
      <c r="F399" s="542">
        <v>50</v>
      </c>
      <c r="G399" s="453">
        <v>0.6</v>
      </c>
      <c r="H399" s="820">
        <f>F399*G399</f>
        <v>30</v>
      </c>
      <c r="I399" s="529">
        <f>D399/H399</f>
        <v>30.886503409625295</v>
      </c>
      <c r="J399" s="539">
        <f>I399/I421</f>
        <v>1.9708134851982441E-3</v>
      </c>
      <c r="K399" s="552">
        <f>L399/H399</f>
        <v>8.061596504889506</v>
      </c>
      <c r="L399" s="452">
        <f>L119*$AX$10</f>
        <v>241.84789514668518</v>
      </c>
      <c r="M399" s="693">
        <f>D399*K399</f>
        <v>7469.8358380587924</v>
      </c>
      <c r="N399" s="413">
        <f>M399/M421</f>
        <v>6.1128761900395297E-2</v>
      </c>
      <c r="O399" s="682" t="s">
        <v>60</v>
      </c>
      <c r="P399" s="759">
        <f>SUM(P400)</f>
        <v>7469.8358380587924</v>
      </c>
      <c r="Q399" s="801">
        <f>SUM(Q400)</f>
        <v>1</v>
      </c>
      <c r="R399" s="759">
        <f>SUM(R400)</f>
        <v>926.59510228875888</v>
      </c>
      <c r="S399" s="797">
        <f>SUM(S400)</f>
        <v>1</v>
      </c>
      <c r="T399" s="680"/>
      <c r="U399" s="494" t="str">
        <f t="shared" si="235"/>
        <v>Sum</v>
      </c>
      <c r="V399" s="619"/>
      <c r="W399" s="762"/>
      <c r="X399" s="447"/>
      <c r="Y399" s="619"/>
      <c r="Z399" s="447"/>
      <c r="AA399" s="447"/>
      <c r="AB399" s="447"/>
      <c r="AC399" s="447"/>
      <c r="AD399" s="749">
        <f>SUM(AD400:AD402)</f>
        <v>7469.8358380587924</v>
      </c>
      <c r="AE399" s="725"/>
      <c r="AF399" s="721"/>
      <c r="AG399" s="721"/>
      <c r="AH399" s="721"/>
      <c r="AI399" s="721"/>
      <c r="AJ399" s="721"/>
      <c r="AK399" s="721"/>
      <c r="AL399" s="721"/>
      <c r="AM399" s="721"/>
      <c r="AN399" s="721"/>
      <c r="AO399" s="721"/>
      <c r="AP399" s="721"/>
      <c r="AQ399" s="721"/>
      <c r="AR399" s="651"/>
      <c r="AU399" s="70"/>
      <c r="AV399" s="70"/>
      <c r="AW399" s="70"/>
      <c r="AX399" s="70"/>
      <c r="AY399" s="70"/>
      <c r="AZ399" s="70"/>
      <c r="BA399" s="70"/>
    </row>
    <row r="400" spans="3:53" ht="15.75" customHeight="1" x14ac:dyDescent="0.25">
      <c r="C400" s="583"/>
      <c r="D400" s="532"/>
      <c r="E400" s="546"/>
      <c r="F400" s="364"/>
      <c r="G400" s="381"/>
      <c r="H400" s="827"/>
      <c r="I400" s="538"/>
      <c r="J400" s="473"/>
      <c r="K400" s="553"/>
      <c r="L400" s="432"/>
      <c r="M400" s="770"/>
      <c r="N400" s="367"/>
      <c r="O400" s="450" t="s">
        <v>4</v>
      </c>
      <c r="P400" s="532">
        <f>M399</f>
        <v>7469.8358380587924</v>
      </c>
      <c r="Q400" s="436">
        <f>P400/P400</f>
        <v>1</v>
      </c>
      <c r="R400" s="532">
        <f>D399</f>
        <v>926.59510228875888</v>
      </c>
      <c r="S400" s="367">
        <f>R400/R400</f>
        <v>1</v>
      </c>
      <c r="T400" s="525"/>
      <c r="U400" s="1552" t="str">
        <f t="shared" si="235"/>
        <v>Gas-turbines Bio-jetfuel</v>
      </c>
      <c r="V400" s="294">
        <f>V260</f>
        <v>0</v>
      </c>
      <c r="W400" s="532"/>
      <c r="X400" s="4"/>
      <c r="Y400" s="4"/>
      <c r="Z400" s="4"/>
      <c r="AA400" s="421">
        <f>1/AB400</f>
        <v>4.13483027997197E-3</v>
      </c>
      <c r="AB400" s="416">
        <f>AB402</f>
        <v>241.84789514668518</v>
      </c>
      <c r="AC400" s="411">
        <f>AC402</f>
        <v>8.061596504889506</v>
      </c>
      <c r="AD400" s="748">
        <f>AC400*D399*V400</f>
        <v>0</v>
      </c>
      <c r="AE400" s="720"/>
      <c r="AF400" s="733"/>
      <c r="AG400" s="733"/>
      <c r="AH400" s="733"/>
      <c r="AI400" s="733"/>
      <c r="AJ400" s="733"/>
      <c r="AK400" s="733"/>
      <c r="AL400" s="733"/>
      <c r="AM400" s="722">
        <f>AD400</f>
        <v>0</v>
      </c>
      <c r="AN400" s="721"/>
      <c r="AO400" s="721"/>
      <c r="AP400" s="721"/>
      <c r="AQ400" s="721"/>
      <c r="AR400" s="649"/>
      <c r="AU400" s="70"/>
      <c r="AV400" s="70"/>
      <c r="AW400" s="70"/>
      <c r="AX400" s="70"/>
      <c r="AY400" s="70"/>
      <c r="AZ400" s="70"/>
      <c r="BA400" s="70"/>
    </row>
    <row r="401" spans="3:53" ht="15.75" customHeight="1" thickBot="1" x14ac:dyDescent="0.3">
      <c r="C401" s="583"/>
      <c r="D401" s="532"/>
      <c r="E401" s="546"/>
      <c r="F401" s="364"/>
      <c r="G401" s="381"/>
      <c r="H401" s="827"/>
      <c r="I401" s="538"/>
      <c r="J401" s="473"/>
      <c r="K401" s="553"/>
      <c r="L401" s="432"/>
      <c r="M401" s="770"/>
      <c r="N401" s="367"/>
      <c r="T401" s="524"/>
      <c r="U401" s="1535" t="str">
        <f t="shared" si="235"/>
        <v>Gas-turbines Syn-jetfuel</v>
      </c>
      <c r="V401" s="1578">
        <f>V261</f>
        <v>0</v>
      </c>
      <c r="W401" s="532"/>
      <c r="X401" s="612"/>
      <c r="Y401" s="612"/>
      <c r="Z401" s="421"/>
      <c r="AA401" s="421">
        <f>1/AB401</f>
        <v>4.13483027997197E-3</v>
      </c>
      <c r="AB401" s="416">
        <f>AB402</f>
        <v>241.84789514668518</v>
      </c>
      <c r="AC401" s="411">
        <f>AC402</f>
        <v>8.061596504889506</v>
      </c>
      <c r="AD401" s="748">
        <f>AC401*D399*V401</f>
        <v>0</v>
      </c>
      <c r="AE401" s="736"/>
      <c r="AF401" s="733"/>
      <c r="AG401" s="733"/>
      <c r="AH401" s="733"/>
      <c r="AI401" s="733"/>
      <c r="AJ401" s="733"/>
      <c r="AK401" s="733"/>
      <c r="AL401" s="733"/>
      <c r="AM401" s="733"/>
      <c r="AN401" s="721"/>
      <c r="AO401" s="721"/>
      <c r="AP401" s="721"/>
      <c r="AQ401" s="722">
        <f>AD401</f>
        <v>0</v>
      </c>
      <c r="AR401" s="649"/>
      <c r="AU401" s="70"/>
      <c r="AV401" s="70"/>
      <c r="AW401" s="70"/>
      <c r="AX401" s="70"/>
      <c r="AY401" s="70"/>
      <c r="AZ401" s="70"/>
      <c r="BA401" s="70"/>
    </row>
    <row r="402" spans="3:53" ht="15.75" customHeight="1" thickBot="1" x14ac:dyDescent="0.3">
      <c r="C402" s="587"/>
      <c r="D402" s="705"/>
      <c r="E402" s="548"/>
      <c r="F402" s="385"/>
      <c r="G402" s="665"/>
      <c r="H402" s="1356"/>
      <c r="I402" s="692"/>
      <c r="J402" s="663"/>
      <c r="K402" s="554"/>
      <c r="L402" s="439"/>
      <c r="M402" s="771"/>
      <c r="N402" s="785"/>
      <c r="O402" s="457"/>
      <c r="P402" s="705"/>
      <c r="Q402" s="443"/>
      <c r="R402" s="705"/>
      <c r="S402" s="390"/>
      <c r="T402" s="523"/>
      <c r="U402" s="495" t="str">
        <f t="shared" si="235"/>
        <v>No shift in technology</v>
      </c>
      <c r="V402" s="412">
        <f>1-SUM(V400:V401)</f>
        <v>1</v>
      </c>
      <c r="W402" s="705">
        <f>AB402*72</f>
        <v>17413.048450561331</v>
      </c>
      <c r="X402" s="384"/>
      <c r="Y402" s="384"/>
      <c r="Z402" s="384"/>
      <c r="AA402" s="454">
        <f>1/AB402</f>
        <v>4.13483027997197E-3</v>
      </c>
      <c r="AB402" s="385">
        <f>L399</f>
        <v>241.84789514668518</v>
      </c>
      <c r="AC402" s="406">
        <f>K399</f>
        <v>8.061596504889506</v>
      </c>
      <c r="AD402" s="747">
        <f>AC402*V402*D399</f>
        <v>7469.8358380587924</v>
      </c>
      <c r="AE402" s="734"/>
      <c r="AF402" s="735"/>
      <c r="AG402" s="729">
        <f>+AD402</f>
        <v>7469.8358380587924</v>
      </c>
      <c r="AH402" s="735"/>
      <c r="AI402" s="735"/>
      <c r="AJ402" s="730"/>
      <c r="AK402" s="730"/>
      <c r="AL402" s="730"/>
      <c r="AM402" s="730"/>
      <c r="AN402" s="730"/>
      <c r="AO402" s="730"/>
      <c r="AP402" s="730"/>
      <c r="AQ402" s="730"/>
      <c r="AR402" s="652"/>
      <c r="AU402" s="70"/>
      <c r="AV402" s="70"/>
      <c r="AW402" s="70"/>
      <c r="AX402" s="70"/>
      <c r="AY402" s="70"/>
      <c r="AZ402" s="70"/>
      <c r="BA402" s="70"/>
    </row>
    <row r="403" spans="3:53" ht="15.75" customHeight="1" thickBot="1" x14ac:dyDescent="0.3">
      <c r="C403" s="586" t="str">
        <f>C263</f>
        <v>National sea</v>
      </c>
      <c r="D403" s="693">
        <f>((D263*(1+'Growth, Modal Shift, InfraCosts'!G64)^'Growth, Modal Shift, InfraCosts'!$H$4))</f>
        <v>2504.5272868094135</v>
      </c>
      <c r="E403" s="1331">
        <f>D403/D421</f>
        <v>1.8957105819571482E-2</v>
      </c>
      <c r="F403" s="757">
        <v>20000</v>
      </c>
      <c r="G403" s="453">
        <v>0.6</v>
      </c>
      <c r="H403" s="757">
        <f>F403*G403</f>
        <v>12000</v>
      </c>
      <c r="I403" s="757">
        <f>D403/H403</f>
        <v>0.2087106072341178</v>
      </c>
      <c r="J403" s="809">
        <f>I403/I421</f>
        <v>1.3317456941815209E-5</v>
      </c>
      <c r="K403" s="552">
        <f>L403/H403</f>
        <v>0.1903190725128274</v>
      </c>
      <c r="L403" s="452">
        <f>L123*$AX$8</f>
        <v>2283.8288701539286</v>
      </c>
      <c r="M403" s="693">
        <f>D403*K403</f>
        <v>476.65931030863561</v>
      </c>
      <c r="N403" s="413">
        <f>M403/M421</f>
        <v>3.9007006471289858E-3</v>
      </c>
      <c r="O403" s="682" t="s">
        <v>60</v>
      </c>
      <c r="P403" s="759">
        <f>SUM(P404)</f>
        <v>476.65931030863561</v>
      </c>
      <c r="Q403" s="801">
        <f>SUM(Q404)</f>
        <v>1</v>
      </c>
      <c r="R403" s="759">
        <f>SUM(R404)</f>
        <v>2504.5272868094135</v>
      </c>
      <c r="S403" s="797">
        <f>SUM(S404)</f>
        <v>1</v>
      </c>
      <c r="T403" s="680"/>
      <c r="U403" s="1554" t="str">
        <f t="shared" si="235"/>
        <v xml:space="preserve">Sum </v>
      </c>
      <c r="V403" s="381"/>
      <c r="W403" s="538"/>
      <c r="X403" s="369"/>
      <c r="Y403" s="369"/>
      <c r="Z403" s="363"/>
      <c r="AA403" s="363"/>
      <c r="AB403" s="364"/>
      <c r="AC403" s="411"/>
      <c r="AD403" s="748">
        <f>SUM(AD404:AD407)</f>
        <v>476.65931030863561</v>
      </c>
      <c r="AE403" s="725"/>
      <c r="AF403" s="733"/>
      <c r="AG403" s="733"/>
      <c r="AH403" s="733"/>
      <c r="AI403" s="733"/>
      <c r="AJ403" s="733"/>
      <c r="AK403" s="733"/>
      <c r="AL403" s="733"/>
      <c r="AM403" s="733"/>
      <c r="AN403" s="721"/>
      <c r="AO403" s="721"/>
      <c r="AP403" s="721"/>
      <c r="AQ403" s="723"/>
      <c r="AR403" s="654"/>
      <c r="AU403" s="70"/>
      <c r="AV403" s="70"/>
      <c r="AW403" s="70"/>
      <c r="AX403" s="70"/>
      <c r="AY403" s="70"/>
      <c r="AZ403" s="70"/>
      <c r="BA403" s="70"/>
    </row>
    <row r="404" spans="3:53" ht="15.75" customHeight="1" x14ac:dyDescent="0.25">
      <c r="C404" s="584"/>
      <c r="D404" s="532"/>
      <c r="E404" s="546"/>
      <c r="F404" s="364"/>
      <c r="G404" s="381"/>
      <c r="H404" s="538"/>
      <c r="I404" s="538"/>
      <c r="J404" s="473"/>
      <c r="K404" s="553"/>
      <c r="L404" s="432"/>
      <c r="M404" s="532"/>
      <c r="N404" s="367"/>
      <c r="O404" s="450" t="s">
        <v>3</v>
      </c>
      <c r="P404" s="532">
        <f>M403</f>
        <v>476.65931030863561</v>
      </c>
      <c r="Q404" s="436">
        <f>P404/P404</f>
        <v>1</v>
      </c>
      <c r="R404" s="532">
        <f>D403</f>
        <v>2504.5272868094135</v>
      </c>
      <c r="S404" s="367">
        <f>R404/R404</f>
        <v>1</v>
      </c>
      <c r="T404" s="525"/>
      <c r="U404" s="1534" t="str">
        <f t="shared" si="235"/>
        <v>Bio-methanol</v>
      </c>
      <c r="V404" s="294">
        <f>V264</f>
        <v>0</v>
      </c>
      <c r="W404" s="538"/>
      <c r="X404" s="369"/>
      <c r="Y404" s="369"/>
      <c r="Z404" s="613"/>
      <c r="AA404" s="613"/>
      <c r="AB404" s="416">
        <f t="shared" ref="AB404:AC406" si="236">AB405</f>
        <v>2283.8288701539286</v>
      </c>
      <c r="AC404" s="616">
        <f t="shared" si="236"/>
        <v>0.1903190725128274</v>
      </c>
      <c r="AD404" s="748">
        <f>AC404*D403*V404</f>
        <v>0</v>
      </c>
      <c r="AE404" s="720"/>
      <c r="AF404" s="733"/>
      <c r="AG404" s="733"/>
      <c r="AI404" s="738">
        <f>AD404</f>
        <v>0</v>
      </c>
      <c r="AJ404" s="733"/>
      <c r="AK404" s="733"/>
      <c r="AL404" s="733"/>
      <c r="AM404" s="733"/>
      <c r="AN404" s="721"/>
      <c r="AO404" s="721"/>
      <c r="AP404" s="721"/>
      <c r="AQ404" s="723"/>
      <c r="AR404" s="654"/>
      <c r="AU404" s="70"/>
      <c r="AV404" s="70"/>
      <c r="AW404" s="70"/>
      <c r="AX404" s="70"/>
      <c r="AY404" s="70"/>
      <c r="AZ404" s="70"/>
      <c r="BA404" s="70"/>
    </row>
    <row r="405" spans="3:53" ht="15.75" customHeight="1" x14ac:dyDescent="0.25">
      <c r="C405" s="584"/>
      <c r="D405" s="532"/>
      <c r="E405" s="546"/>
      <c r="F405" s="364"/>
      <c r="G405" s="381"/>
      <c r="H405" s="538"/>
      <c r="I405" s="538"/>
      <c r="J405" s="473"/>
      <c r="K405" s="553"/>
      <c r="L405" s="432"/>
      <c r="M405" s="532"/>
      <c r="N405" s="367"/>
      <c r="T405" s="525"/>
      <c r="U405" s="1534" t="str">
        <f t="shared" si="235"/>
        <v>Gasturbine biogas</v>
      </c>
      <c r="V405" s="375">
        <f>V265</f>
        <v>0</v>
      </c>
      <c r="W405" s="538"/>
      <c r="X405" s="369"/>
      <c r="Y405" s="369"/>
      <c r="Z405" s="613"/>
      <c r="AA405" s="613"/>
      <c r="AB405" s="416">
        <f t="shared" si="236"/>
        <v>2283.8288701539286</v>
      </c>
      <c r="AC405" s="616">
        <f t="shared" si="236"/>
        <v>0.1903190725128274</v>
      </c>
      <c r="AD405" s="748">
        <f>AC405*D403*V405</f>
        <v>0</v>
      </c>
      <c r="AE405" s="720"/>
      <c r="AF405" s="733"/>
      <c r="AG405" s="733"/>
      <c r="AH405" s="721"/>
      <c r="AI405" s="721"/>
      <c r="AJ405" s="721"/>
      <c r="AK405" s="721"/>
      <c r="AL405" s="738">
        <f>AD405</f>
        <v>0</v>
      </c>
      <c r="AM405" s="721"/>
      <c r="AN405" s="721"/>
      <c r="AO405" s="721"/>
      <c r="AP405" s="721"/>
      <c r="AQ405" s="723"/>
      <c r="AR405" s="654"/>
      <c r="AU405" s="894"/>
      <c r="AV405" s="894"/>
      <c r="AW405" s="894"/>
      <c r="AX405" s="894"/>
      <c r="AY405" s="894"/>
      <c r="AZ405" s="70"/>
      <c r="BA405" s="70"/>
    </row>
    <row r="406" spans="3:53" ht="15.75" customHeight="1" thickBot="1" x14ac:dyDescent="0.3">
      <c r="C406" s="584"/>
      <c r="D406" s="532"/>
      <c r="E406" s="546"/>
      <c r="F406" s="364"/>
      <c r="G406" s="381"/>
      <c r="H406" s="538"/>
      <c r="I406" s="538"/>
      <c r="J406" s="473"/>
      <c r="K406" s="553"/>
      <c r="L406" s="432"/>
      <c r="M406" s="532"/>
      <c r="N406" s="367"/>
      <c r="O406" s="450"/>
      <c r="P406" s="532"/>
      <c r="Q406" s="417"/>
      <c r="R406" s="532"/>
      <c r="S406" s="895"/>
      <c r="T406" s="524"/>
      <c r="U406" s="1534" t="str">
        <f t="shared" si="235"/>
        <v>Syn-methanol</v>
      </c>
      <c r="V406" s="1578">
        <f>V266</f>
        <v>0</v>
      </c>
      <c r="W406" s="517"/>
      <c r="AB406" s="416">
        <f t="shared" si="236"/>
        <v>2283.8288701539286</v>
      </c>
      <c r="AC406" s="616">
        <f t="shared" si="236"/>
        <v>0.1903190725128274</v>
      </c>
      <c r="AD406" s="748">
        <f>AC406*D403*V406</f>
        <v>0</v>
      </c>
      <c r="AE406" s="720"/>
      <c r="AF406" s="733"/>
      <c r="AG406" s="733"/>
      <c r="AH406" s="738">
        <f>AD406</f>
        <v>0</v>
      </c>
      <c r="AI406" s="721"/>
      <c r="AJ406" s="721"/>
      <c r="AK406" s="721"/>
      <c r="AL406" s="721"/>
      <c r="AM406" s="721"/>
      <c r="AN406" s="721"/>
      <c r="AO406" s="721"/>
      <c r="AP406" s="721"/>
      <c r="AQ406" s="721"/>
      <c r="AR406" s="649"/>
      <c r="AU406" s="70"/>
      <c r="AV406" s="70"/>
      <c r="AW406" s="70"/>
      <c r="AX406" s="70"/>
      <c r="AY406" s="70"/>
      <c r="AZ406" s="894"/>
      <c r="BA406" s="894"/>
    </row>
    <row r="407" spans="3:53" ht="15.75" customHeight="1" thickBot="1" x14ac:dyDescent="0.3">
      <c r="C407" s="584"/>
      <c r="D407" s="532"/>
      <c r="E407" s="546"/>
      <c r="F407" s="385"/>
      <c r="G407" s="665"/>
      <c r="H407" s="692"/>
      <c r="I407" s="692"/>
      <c r="J407" s="663"/>
      <c r="K407" s="553"/>
      <c r="L407" s="432"/>
      <c r="M407" s="532"/>
      <c r="N407" s="367"/>
      <c r="O407" s="457"/>
      <c r="P407" s="705"/>
      <c r="Q407" s="458"/>
      <c r="R407" s="705"/>
      <c r="S407" s="390"/>
      <c r="T407" s="527"/>
      <c r="U407" s="1536" t="str">
        <f t="shared" si="235"/>
        <v>No shift in technology</v>
      </c>
      <c r="V407" s="459">
        <f>1-SUM(V404:V406)</f>
        <v>1</v>
      </c>
      <c r="W407" s="692">
        <f>AB407*78</f>
        <v>178138.65187200642</v>
      </c>
      <c r="X407" s="408"/>
      <c r="Y407" s="408"/>
      <c r="Z407" s="454"/>
      <c r="AA407" s="454"/>
      <c r="AB407" s="440">
        <f>((I403*L403)+(I407*L407))/SUM(I403+I407)</f>
        <v>2283.8288701539286</v>
      </c>
      <c r="AC407" s="406">
        <f>((K403*D403)+(K407*D407))/SUM(D403,D407)</f>
        <v>0.1903190725128274</v>
      </c>
      <c r="AD407" s="747">
        <f>(V407*D403*AC407)</f>
        <v>476.65931030863561</v>
      </c>
      <c r="AE407" s="734"/>
      <c r="AF407" s="907">
        <f>AD407</f>
        <v>476.65931030863561</v>
      </c>
      <c r="AG407" s="730"/>
      <c r="AH407" s="730"/>
      <c r="AI407" s="730"/>
      <c r="AJ407" s="730"/>
      <c r="AK407" s="730"/>
      <c r="AL407" s="730"/>
      <c r="AM407" s="730"/>
      <c r="AN407" s="730"/>
      <c r="AO407" s="730"/>
      <c r="AP407" s="730"/>
      <c r="AQ407" s="731"/>
      <c r="AR407" s="709"/>
      <c r="AU407" s="70"/>
      <c r="AV407" s="70"/>
      <c r="AW407" s="70"/>
      <c r="AX407" s="70"/>
      <c r="AY407" s="70"/>
      <c r="AZ407" s="70"/>
      <c r="BA407" s="70"/>
    </row>
    <row r="408" spans="3:53" ht="15.75" customHeight="1" thickBot="1" x14ac:dyDescent="0.3">
      <c r="C408" s="582" t="str">
        <f>C268</f>
        <v>International sea</v>
      </c>
      <c r="D408" s="693">
        <f>((D268*(1+'Growth, Modal Shift, InfraCosts'!G65)^'Growth, Modal Shift, InfraCosts'!$H$4))</f>
        <v>94068.312986437362</v>
      </c>
      <c r="E408" s="1331">
        <f>D408/D421</f>
        <v>0.7120157855513769</v>
      </c>
      <c r="F408" s="757">
        <v>75000</v>
      </c>
      <c r="G408" s="453">
        <v>0.7</v>
      </c>
      <c r="H408" s="757">
        <f>F408*G408</f>
        <v>52500</v>
      </c>
      <c r="I408" s="757">
        <f>D408/H408</f>
        <v>1.7917773902178544</v>
      </c>
      <c r="J408" s="809">
        <f>I408/I421</f>
        <v>1.1433016538913893E-4</v>
      </c>
      <c r="K408" s="552">
        <f>L408/H408</f>
        <v>4.5580618206853621E-2</v>
      </c>
      <c r="L408" s="452">
        <f>L128*$AX$8</f>
        <v>2392.9824558598152</v>
      </c>
      <c r="M408" s="693">
        <f>D408*K408</f>
        <v>4287.6918595976122</v>
      </c>
      <c r="N408" s="413">
        <f>M408/M421</f>
        <v>3.5087959155969697E-2</v>
      </c>
      <c r="O408" s="682" t="s">
        <v>60</v>
      </c>
      <c r="P408" s="759">
        <f>SUM(P409)</f>
        <v>4287.6918595976122</v>
      </c>
      <c r="Q408" s="801">
        <f>SUM(Q409)</f>
        <v>1</v>
      </c>
      <c r="R408" s="759">
        <f>SUM(R409)</f>
        <v>94068.312986437362</v>
      </c>
      <c r="S408" s="797">
        <f>SUM(S409)</f>
        <v>1</v>
      </c>
      <c r="T408" s="680"/>
      <c r="U408" s="1554" t="str">
        <f t="shared" si="235"/>
        <v xml:space="preserve">Sum </v>
      </c>
      <c r="V408" s="381"/>
      <c r="W408" s="538"/>
      <c r="X408" s="369"/>
      <c r="Y408" s="369"/>
      <c r="Z408" s="363"/>
      <c r="AA408" s="363"/>
      <c r="AB408" s="364"/>
      <c r="AC408" s="411"/>
      <c r="AD408" s="748">
        <f>SUM(AD409:AD412)</f>
        <v>4287.6918595976122</v>
      </c>
      <c r="AE408" s="725"/>
      <c r="AF408" s="733"/>
      <c r="AG408" s="733"/>
      <c r="AH408" s="733"/>
      <c r="AI408" s="733"/>
      <c r="AJ408" s="733"/>
      <c r="AK408" s="733"/>
      <c r="AL408" s="733"/>
      <c r="AM408" s="733"/>
      <c r="AN408" s="721"/>
      <c r="AO408" s="721"/>
      <c r="AP408" s="721"/>
      <c r="AQ408" s="723"/>
      <c r="AR408" s="654"/>
      <c r="AU408" s="70"/>
      <c r="AV408" s="70"/>
      <c r="AW408" s="70"/>
      <c r="AX408" s="70"/>
      <c r="AY408" s="70"/>
      <c r="AZ408" s="70"/>
      <c r="BA408" s="70"/>
    </row>
    <row r="409" spans="3:53" ht="15.75" x14ac:dyDescent="0.25">
      <c r="C409" s="583"/>
      <c r="D409" s="532"/>
      <c r="E409" s="546"/>
      <c r="F409" s="364"/>
      <c r="G409" s="381"/>
      <c r="H409" s="827"/>
      <c r="I409" s="538"/>
      <c r="J409" s="473"/>
      <c r="K409" s="553"/>
      <c r="L409" s="432"/>
      <c r="M409" s="532"/>
      <c r="N409" s="367"/>
      <c r="O409" s="450" t="s">
        <v>3</v>
      </c>
      <c r="P409" s="532">
        <f>M408</f>
        <v>4287.6918595976122</v>
      </c>
      <c r="Q409" s="436">
        <f>Q404</f>
        <v>1</v>
      </c>
      <c r="R409" s="532">
        <f>D408</f>
        <v>94068.312986437362</v>
      </c>
      <c r="S409" s="367">
        <f>R409/R409</f>
        <v>1</v>
      </c>
      <c r="T409" s="525"/>
      <c r="U409" s="1534" t="str">
        <f t="shared" si="235"/>
        <v>Bio-methanol</v>
      </c>
      <c r="V409" s="294">
        <f>V269</f>
        <v>0</v>
      </c>
      <c r="W409" s="538"/>
      <c r="X409" s="369"/>
      <c r="Y409" s="369"/>
      <c r="Z409" s="613"/>
      <c r="AA409" s="613"/>
      <c r="AB409" s="416">
        <f t="shared" ref="AB409:AC411" si="237">AB410</f>
        <v>2392.9824558598157</v>
      </c>
      <c r="AC409" s="616">
        <f t="shared" si="237"/>
        <v>4.5580618206853628E-2</v>
      </c>
      <c r="AD409" s="748">
        <f>AC409*D408*V409</f>
        <v>0</v>
      </c>
      <c r="AE409" s="720"/>
      <c r="AF409" s="733"/>
      <c r="AG409" s="733"/>
      <c r="AI409" s="738">
        <f>AD409</f>
        <v>0</v>
      </c>
      <c r="AJ409" s="733"/>
      <c r="AK409" s="733"/>
      <c r="AL409" s="733"/>
      <c r="AM409" s="733"/>
      <c r="AN409" s="721"/>
      <c r="AO409" s="721"/>
      <c r="AP409" s="721"/>
      <c r="AQ409" s="723"/>
      <c r="AR409" s="654"/>
      <c r="AU409" s="70"/>
      <c r="AV409" s="70"/>
      <c r="AW409" s="70"/>
      <c r="AX409" s="70"/>
      <c r="AY409" s="70"/>
      <c r="AZ409" s="70"/>
      <c r="BA409" s="70"/>
    </row>
    <row r="410" spans="3:53" ht="15.75" x14ac:dyDescent="0.25">
      <c r="C410" s="583"/>
      <c r="D410" s="532"/>
      <c r="E410" s="546"/>
      <c r="F410" s="364"/>
      <c r="G410" s="381"/>
      <c r="H410" s="827"/>
      <c r="I410" s="538"/>
      <c r="J410" s="473"/>
      <c r="K410" s="553"/>
      <c r="L410" s="432"/>
      <c r="M410" s="532"/>
      <c r="N410" s="367"/>
      <c r="T410" s="525"/>
      <c r="U410" s="1534" t="str">
        <f t="shared" si="235"/>
        <v>Gas-turbine biogas</v>
      </c>
      <c r="V410" s="375">
        <f>V270</f>
        <v>0</v>
      </c>
      <c r="W410" s="538"/>
      <c r="X410" s="369"/>
      <c r="Y410" s="369"/>
      <c r="Z410" s="613"/>
      <c r="AA410" s="613"/>
      <c r="AB410" s="416">
        <f t="shared" si="237"/>
        <v>2392.9824558598157</v>
      </c>
      <c r="AC410" s="616">
        <f t="shared" si="237"/>
        <v>4.5580618206853628E-2</v>
      </c>
      <c r="AD410" s="748">
        <f>AC410*D408*V410</f>
        <v>0</v>
      </c>
      <c r="AE410" s="720"/>
      <c r="AF410" s="733"/>
      <c r="AG410" s="733"/>
      <c r="AH410" s="721"/>
      <c r="AI410" s="721"/>
      <c r="AJ410" s="721"/>
      <c r="AK410" s="721"/>
      <c r="AL410" s="738">
        <f>AD410</f>
        <v>0</v>
      </c>
      <c r="AM410" s="721"/>
      <c r="AN410" s="721"/>
      <c r="AO410" s="721"/>
      <c r="AP410" s="721"/>
      <c r="AQ410" s="723"/>
      <c r="AR410" s="654"/>
      <c r="AU410" s="894"/>
      <c r="AV410" s="894"/>
      <c r="AW410" s="894"/>
      <c r="AX410" s="894"/>
      <c r="AY410" s="894"/>
      <c r="AZ410" s="70"/>
      <c r="BA410" s="70"/>
    </row>
    <row r="411" spans="3:53" ht="16.5" thickBot="1" x14ac:dyDescent="0.3">
      <c r="C411" s="583"/>
      <c r="D411" s="532"/>
      <c r="E411" s="448"/>
      <c r="F411" s="416"/>
      <c r="G411" s="405"/>
      <c r="H411" s="829"/>
      <c r="I411" s="532"/>
      <c r="J411" s="417"/>
      <c r="K411" s="553"/>
      <c r="L411" s="432"/>
      <c r="M411" s="532"/>
      <c r="N411" s="367"/>
      <c r="O411" s="417"/>
      <c r="P411" s="532"/>
      <c r="Q411" s="436"/>
      <c r="R411" s="532"/>
      <c r="S411" s="417"/>
      <c r="T411" s="524"/>
      <c r="U411" s="1534" t="str">
        <f t="shared" si="235"/>
        <v>Syn-methanol</v>
      </c>
      <c r="V411" s="1578">
        <f>V271</f>
        <v>0</v>
      </c>
      <c r="W411" s="517"/>
      <c r="AB411" s="416">
        <f t="shared" si="237"/>
        <v>2392.9824558598157</v>
      </c>
      <c r="AC411" s="616">
        <f t="shared" si="237"/>
        <v>4.5580618206853628E-2</v>
      </c>
      <c r="AD411" s="748">
        <f>AC411*D408*V411</f>
        <v>0</v>
      </c>
      <c r="AE411" s="720"/>
      <c r="AF411" s="733"/>
      <c r="AG411" s="733"/>
      <c r="AH411" s="738">
        <f>AD411</f>
        <v>0</v>
      </c>
      <c r="AI411" s="721"/>
      <c r="AJ411" s="721"/>
      <c r="AK411" s="721"/>
      <c r="AL411" s="721"/>
      <c r="AM411" s="721"/>
      <c r="AN411" s="721"/>
      <c r="AO411" s="721"/>
      <c r="AP411" s="721"/>
      <c r="AQ411" s="721"/>
      <c r="AR411" s="649"/>
      <c r="AU411" s="70"/>
      <c r="AV411" s="70"/>
      <c r="AW411" s="70"/>
      <c r="AX411" s="70"/>
      <c r="AY411" s="70"/>
      <c r="AZ411" s="894"/>
      <c r="BA411" s="894"/>
    </row>
    <row r="412" spans="3:53" ht="15.75" customHeight="1" x14ac:dyDescent="0.25">
      <c r="C412" s="587"/>
      <c r="D412" s="705"/>
      <c r="E412" s="456"/>
      <c r="F412" s="440"/>
      <c r="G412" s="404"/>
      <c r="H412" s="830"/>
      <c r="I412" s="705"/>
      <c r="J412" s="458"/>
      <c r="K412" s="554"/>
      <c r="L412" s="439"/>
      <c r="M412" s="705"/>
      <c r="N412" s="785"/>
      <c r="O412" s="458"/>
      <c r="P412" s="705"/>
      <c r="Q412" s="443"/>
      <c r="R412" s="705"/>
      <c r="S412" s="458"/>
      <c r="T412" s="527"/>
      <c r="U412" s="1537" t="str">
        <f t="shared" si="235"/>
        <v>No shift in technology</v>
      </c>
      <c r="V412" s="459">
        <f>1-SUM(V409:V411)</f>
        <v>1</v>
      </c>
      <c r="W412" s="692">
        <f>AB412*78</f>
        <v>186652.63155706562</v>
      </c>
      <c r="X412" s="408"/>
      <c r="Y412" s="408"/>
      <c r="Z412" s="454"/>
      <c r="AA412" s="454"/>
      <c r="AB412" s="416">
        <f>((I408*L408)+(I412*L412))/SUM(I408+I412)</f>
        <v>2392.9824558598157</v>
      </c>
      <c r="AC412" s="411">
        <f>((K408*D408)+(K412*D412))/SUM(D408,D412)</f>
        <v>4.5580618206853628E-2</v>
      </c>
      <c r="AD412" s="747">
        <f>(V412*D408*AC412)</f>
        <v>4287.6918595976122</v>
      </c>
      <c r="AE412" s="734"/>
      <c r="AF412" s="907">
        <f>AD412</f>
        <v>4287.6918595976122</v>
      </c>
      <c r="AG412" s="730"/>
      <c r="AH412" s="730"/>
      <c r="AI412" s="730"/>
      <c r="AJ412" s="730"/>
      <c r="AK412" s="730"/>
      <c r="AL412" s="730"/>
      <c r="AM412" s="730"/>
      <c r="AN412" s="730"/>
      <c r="AO412" s="730"/>
      <c r="AP412" s="730"/>
      <c r="AQ412" s="731"/>
      <c r="AR412" s="709"/>
      <c r="AU412" s="70"/>
      <c r="AV412" s="70"/>
      <c r="AW412" s="70"/>
      <c r="AX412" s="70"/>
      <c r="AY412" s="70"/>
      <c r="AZ412" s="70"/>
      <c r="BA412" s="70"/>
    </row>
    <row r="413" spans="3:53" ht="30.75" customHeight="1" thickBot="1" x14ac:dyDescent="0.3">
      <c r="C413" s="578" t="str">
        <f t="shared" ref="C413:C419" si="238">C273</f>
        <v>Other</v>
      </c>
      <c r="D413" s="694" t="s">
        <v>114</v>
      </c>
      <c r="E413" s="1956" t="str">
        <f t="shared" ref="E413:E419" si="239">E273</f>
        <v>Eff. improvements / Year
(added to ref impr.)</v>
      </c>
      <c r="F413" s="1957"/>
      <c r="G413" s="1958"/>
      <c r="I413" s="529" t="s">
        <v>213</v>
      </c>
      <c r="K413" s="512" t="s">
        <v>114</v>
      </c>
      <c r="L413" s="55" t="s">
        <v>114</v>
      </c>
      <c r="M413" s="529">
        <f>SUM(M414:M419)</f>
        <v>20560.088673123035</v>
      </c>
      <c r="N413" s="353">
        <f>M413/M421</f>
        <v>0.16825172499064769</v>
      </c>
      <c r="O413" s="683" t="s">
        <v>60</v>
      </c>
      <c r="P413" s="757">
        <f>SUM(P414:P419)</f>
        <v>20560.088673123035</v>
      </c>
      <c r="Q413" s="809" t="s">
        <v>114</v>
      </c>
      <c r="R413" s="757" t="s">
        <v>114</v>
      </c>
      <c r="S413" s="795" t="s">
        <v>114</v>
      </c>
      <c r="T413" s="684"/>
      <c r="U413" s="1538" t="str">
        <f t="shared" si="235"/>
        <v>Sum</v>
      </c>
      <c r="V413" s="1570" t="s">
        <v>124</v>
      </c>
      <c r="W413" s="538"/>
      <c r="X413" s="369"/>
      <c r="Y413" s="369"/>
      <c r="Z413" s="613"/>
      <c r="AA413" s="613"/>
      <c r="AB413" s="844" t="s">
        <v>125</v>
      </c>
      <c r="AC413" s="845" t="s">
        <v>128</v>
      </c>
      <c r="AD413" s="748">
        <f>SUM(AD414:AD420)</f>
        <v>20560.088673123035</v>
      </c>
      <c r="AE413" s="720"/>
      <c r="AF413" s="721"/>
      <c r="AG413" s="721"/>
      <c r="AH413" s="721"/>
      <c r="AI413" s="721"/>
      <c r="AJ413" s="721"/>
      <c r="AK413" s="721"/>
      <c r="AL413" s="721"/>
      <c r="AM413" s="721"/>
      <c r="AN413" s="721"/>
      <c r="AO413" s="721"/>
      <c r="AP413" s="721"/>
      <c r="AQ413" s="721"/>
      <c r="AR413" s="654"/>
      <c r="AU413" s="70"/>
      <c r="AV413" s="70"/>
      <c r="AW413" s="70"/>
      <c r="AX413" s="70"/>
      <c r="AY413" s="70"/>
      <c r="AZ413" s="70"/>
      <c r="BA413" s="70"/>
    </row>
    <row r="414" spans="3:53" ht="15.75" x14ac:dyDescent="0.25">
      <c r="C414" s="580" t="str">
        <f t="shared" si="238"/>
        <v>Military transport road</v>
      </c>
      <c r="E414" s="1896" t="str">
        <f t="shared" si="239"/>
        <v>Diesel (military)</v>
      </c>
      <c r="F414" s="1897"/>
      <c r="G414" s="449">
        <v>0</v>
      </c>
      <c r="I414" s="704">
        <f t="shared" ref="I414:I419" si="240">(1+G414)^$AX$4-1</f>
        <v>0</v>
      </c>
      <c r="K414" s="553"/>
      <c r="L414" s="432"/>
      <c r="M414" s="532">
        <f t="shared" ref="M414:M419" si="241">M274*$AX$11</f>
        <v>823.28651558115553</v>
      </c>
      <c r="N414" s="367">
        <f>M414/M421</f>
        <v>6.7372946980110643E-3</v>
      </c>
      <c r="O414" s="450" t="s">
        <v>113</v>
      </c>
      <c r="P414" s="532">
        <f t="shared" ref="P414:P419" si="242">P274*$AX$11*(1-I414)</f>
        <v>823.28651558115553</v>
      </c>
      <c r="Q414" s="436"/>
      <c r="R414" s="532"/>
      <c r="S414" s="367"/>
      <c r="T414" s="525"/>
      <c r="U414" s="1536" t="str">
        <f t="shared" si="235"/>
        <v>Bio-methanol [fishery/gardening/forestry]</v>
      </c>
      <c r="V414" s="346"/>
      <c r="W414" s="517"/>
      <c r="X414" s="369"/>
      <c r="Y414" s="369"/>
      <c r="AB414" s="463">
        <f>AB274</f>
        <v>0</v>
      </c>
      <c r="AC414" s="464" t="s">
        <v>127</v>
      </c>
      <c r="AD414" s="748">
        <f>AB414*(P417+P418)</f>
        <v>0</v>
      </c>
      <c r="AE414" s="720"/>
      <c r="AF414" s="721"/>
      <c r="AG414" s="721"/>
      <c r="AH414" s="721"/>
      <c r="AI414" s="722">
        <f>AD414</f>
        <v>0</v>
      </c>
      <c r="AJ414" s="721"/>
      <c r="AK414" s="721"/>
      <c r="AL414" s="721"/>
      <c r="AM414" s="721"/>
      <c r="AN414" s="721"/>
      <c r="AO414" s="721"/>
      <c r="AP414" s="721"/>
      <c r="AQ414" s="721"/>
      <c r="AR414" s="649"/>
      <c r="AU414" s="70"/>
      <c r="AV414" s="70"/>
      <c r="AW414" s="70"/>
      <c r="AX414" s="70"/>
      <c r="AY414" s="70"/>
      <c r="AZ414" s="70"/>
      <c r="BA414" s="70"/>
    </row>
    <row r="415" spans="3:53" ht="15.75" x14ac:dyDescent="0.25">
      <c r="C415" s="580" t="str">
        <f t="shared" si="238"/>
        <v>Military transport aviation</v>
      </c>
      <c r="E415" s="1896" t="str">
        <f t="shared" si="239"/>
        <v>JP1 (military)</v>
      </c>
      <c r="F415" s="1897"/>
      <c r="G415" s="465">
        <v>0</v>
      </c>
      <c r="I415" s="704">
        <f t="shared" si="240"/>
        <v>0</v>
      </c>
      <c r="K415" s="553"/>
      <c r="L415" s="432"/>
      <c r="M415" s="532">
        <f t="shared" si="241"/>
        <v>798.13670288595404</v>
      </c>
      <c r="N415" s="367">
        <f>M415/M421</f>
        <v>6.5314833595273483E-3</v>
      </c>
      <c r="O415" s="450" t="s">
        <v>112</v>
      </c>
      <c r="P415" s="532">
        <f t="shared" si="242"/>
        <v>798.13670288595404</v>
      </c>
      <c r="Q415" s="417"/>
      <c r="R415" s="532"/>
      <c r="S415" s="366"/>
      <c r="T415" s="524"/>
      <c r="U415" s="487" t="str">
        <f t="shared" si="235"/>
        <v>Plug-in hybrid vehicle Bio-methanol (EV %of drive train) [all road/agriculture]</v>
      </c>
      <c r="V415" s="346" t="s">
        <v>126</v>
      </c>
      <c r="W415" s="517"/>
      <c r="X415" s="369"/>
      <c r="Y415" s="369"/>
      <c r="Z415" s="466">
        <v>0.25</v>
      </c>
      <c r="AB415" s="463">
        <f>AB275</f>
        <v>0</v>
      </c>
      <c r="AC415" s="464" t="s">
        <v>127</v>
      </c>
      <c r="AD415" s="748">
        <f>AB415*(P414+P416+P419)</f>
        <v>0</v>
      </c>
      <c r="AE415" s="720"/>
      <c r="AF415" s="721"/>
      <c r="AG415" s="721"/>
      <c r="AH415" s="721"/>
      <c r="AI415" s="722">
        <f>AD415*(1-Z415)</f>
        <v>0</v>
      </c>
      <c r="AJ415" s="721"/>
      <c r="AK415" s="721"/>
      <c r="AL415" s="721"/>
      <c r="AM415" s="721"/>
      <c r="AN415" s="721"/>
      <c r="AO415" s="722">
        <f>AD415*Z415</f>
        <v>0</v>
      </c>
      <c r="AP415" s="721"/>
      <c r="AQ415" s="721"/>
      <c r="AR415" s="649"/>
      <c r="AU415" s="70"/>
      <c r="AV415" s="70"/>
      <c r="AW415" s="70"/>
      <c r="AX415" s="70"/>
      <c r="AY415" s="70"/>
      <c r="AZ415" s="70"/>
      <c r="BA415" s="70"/>
    </row>
    <row r="416" spans="3:53" ht="15.75" x14ac:dyDescent="0.25">
      <c r="C416" s="580" t="str">
        <f t="shared" si="238"/>
        <v>Agriculture</v>
      </c>
      <c r="E416" s="1894" t="str">
        <f t="shared" si="239"/>
        <v>Diesel (Agr.)</v>
      </c>
      <c r="F416" s="1895"/>
      <c r="G416" s="465">
        <v>0</v>
      </c>
      <c r="I416" s="704">
        <f t="shared" si="240"/>
        <v>0</v>
      </c>
      <c r="K416" s="553"/>
      <c r="L416" s="432"/>
      <c r="M416" s="532">
        <f t="shared" si="241"/>
        <v>10903.183503743247</v>
      </c>
      <c r="N416" s="367">
        <f>M416/M421</f>
        <v>8.9225268507352282E-2</v>
      </c>
      <c r="O416" s="346" t="s">
        <v>120</v>
      </c>
      <c r="P416" s="532">
        <f t="shared" si="242"/>
        <v>10903.183503743247</v>
      </c>
      <c r="Q416" s="417"/>
      <c r="R416" s="532"/>
      <c r="S416" s="366"/>
      <c r="T416" s="524"/>
      <c r="U416" s="1535" t="str">
        <f t="shared" si="235"/>
        <v>Gas-turbines Bio-jetfuel [aviation]</v>
      </c>
      <c r="V416" s="346"/>
      <c r="W416" s="517"/>
      <c r="X416" s="369"/>
      <c r="Y416" s="369"/>
      <c r="AB416" s="463">
        <f>AB276</f>
        <v>0</v>
      </c>
      <c r="AC416" s="464" t="s">
        <v>127</v>
      </c>
      <c r="AD416" s="748">
        <f>AB416*P415</f>
        <v>0</v>
      </c>
      <c r="AE416" s="720"/>
      <c r="AF416" s="721"/>
      <c r="AG416" s="721"/>
      <c r="AH416" s="721"/>
      <c r="AI416" s="721"/>
      <c r="AJ416" s="721"/>
      <c r="AK416" s="721"/>
      <c r="AL416" s="721"/>
      <c r="AM416" s="722">
        <f>AD416</f>
        <v>0</v>
      </c>
      <c r="AN416" s="721"/>
      <c r="AO416" s="721"/>
      <c r="AP416" s="721"/>
      <c r="AQ416" s="721"/>
      <c r="AR416" s="649"/>
      <c r="AU416" s="70"/>
      <c r="AV416" s="70"/>
      <c r="AW416" s="70"/>
      <c r="AX416" s="70"/>
      <c r="AY416" s="70"/>
      <c r="AZ416" s="70"/>
      <c r="BA416" s="70"/>
    </row>
    <row r="417" spans="2:53" ht="15.75" x14ac:dyDescent="0.25">
      <c r="C417" s="580" t="str">
        <f t="shared" si="238"/>
        <v>Fishery</v>
      </c>
      <c r="E417" s="1894" t="str">
        <f t="shared" si="239"/>
        <v>Diesel (Fishery)</v>
      </c>
      <c r="F417" s="1895"/>
      <c r="G417" s="465">
        <v>0</v>
      </c>
      <c r="I417" s="704">
        <f t="shared" si="240"/>
        <v>0</v>
      </c>
      <c r="K417" s="553"/>
      <c r="L417" s="432"/>
      <c r="M417" s="532">
        <f t="shared" si="241"/>
        <v>5740.074897493052</v>
      </c>
      <c r="N417" s="367">
        <f>M417/M421</f>
        <v>4.6973411371577595E-2</v>
      </c>
      <c r="O417" s="346" t="s">
        <v>121</v>
      </c>
      <c r="P417" s="532">
        <f t="shared" si="242"/>
        <v>5740.074897493052</v>
      </c>
      <c r="Q417" s="417"/>
      <c r="R417" s="532"/>
      <c r="S417" s="366"/>
      <c r="T417" s="524"/>
      <c r="U417" s="1535" t="str">
        <f t="shared" si="235"/>
        <v>Syn-methanol [fishery/ gardening/forestry]</v>
      </c>
      <c r="V417" s="346"/>
      <c r="W417" s="517"/>
      <c r="X417" s="369"/>
      <c r="Y417" s="369"/>
      <c r="AB417" s="467" t="s">
        <v>127</v>
      </c>
      <c r="AC417" s="1580">
        <f>AC277</f>
        <v>0</v>
      </c>
      <c r="AD417" s="748">
        <f>AC417*(P417+P418)</f>
        <v>0</v>
      </c>
      <c r="AE417" s="720"/>
      <c r="AF417" s="721"/>
      <c r="AG417" s="721"/>
      <c r="AH417" s="722">
        <f>AD417</f>
        <v>0</v>
      </c>
      <c r="AI417" s="721"/>
      <c r="AJ417" s="721"/>
      <c r="AK417" s="721"/>
      <c r="AL417" s="721"/>
      <c r="AM417" s="721"/>
      <c r="AN417" s="721"/>
      <c r="AO417" s="721"/>
      <c r="AP417" s="721"/>
      <c r="AQ417" s="721"/>
      <c r="AR417" s="649"/>
      <c r="AU417" s="70"/>
      <c r="AV417" s="70"/>
      <c r="AW417" s="70"/>
      <c r="AX417" s="70"/>
      <c r="AY417" s="70"/>
      <c r="AZ417" s="70"/>
      <c r="BA417" s="70"/>
    </row>
    <row r="418" spans="2:53" ht="15.75" x14ac:dyDescent="0.25">
      <c r="C418" s="580" t="str">
        <f t="shared" si="238"/>
        <v>Gardening and forestry</v>
      </c>
      <c r="E418" s="1894" t="str">
        <f t="shared" si="239"/>
        <v>Diesel (garden/forest)</v>
      </c>
      <c r="F418" s="1895"/>
      <c r="G418" s="465">
        <v>0</v>
      </c>
      <c r="I418" s="704">
        <f t="shared" si="240"/>
        <v>0</v>
      </c>
      <c r="K418" s="553"/>
      <c r="L418" s="432"/>
      <c r="M418" s="532">
        <f t="shared" si="241"/>
        <v>382.56784223660492</v>
      </c>
      <c r="N418" s="367">
        <f>M418/M421</f>
        <v>3.1307111756965697E-3</v>
      </c>
      <c r="O418" s="346" t="s">
        <v>122</v>
      </c>
      <c r="P418" s="532">
        <f t="shared" si="242"/>
        <v>382.56784223660492</v>
      </c>
      <c r="Q418" s="417"/>
      <c r="R418" s="532"/>
      <c r="S418" s="366"/>
      <c r="T418" s="524"/>
      <c r="U418" s="1535" t="str">
        <f t="shared" si="235"/>
        <v>Hybrid Syn-methanol (EV % of drive train) [all road/agriculture]</v>
      </c>
      <c r="V418" s="346" t="s">
        <v>126</v>
      </c>
      <c r="W418" s="517"/>
      <c r="X418" s="369"/>
      <c r="Y418" s="369"/>
      <c r="Z418" s="466">
        <v>0.25</v>
      </c>
      <c r="AB418" s="467" t="s">
        <v>127</v>
      </c>
      <c r="AC418" s="1580">
        <f>AC278</f>
        <v>0</v>
      </c>
      <c r="AD418" s="748">
        <f>AC418*(P414+P416+P419)</f>
        <v>0</v>
      </c>
      <c r="AE418" s="720"/>
      <c r="AF418" s="721"/>
      <c r="AG418" s="721"/>
      <c r="AH418" s="722">
        <f>AD418*(1-Z418)</f>
        <v>0</v>
      </c>
      <c r="AI418" s="721"/>
      <c r="AJ418" s="721"/>
      <c r="AK418" s="721"/>
      <c r="AL418" s="721"/>
      <c r="AM418" s="721"/>
      <c r="AN418" s="721"/>
      <c r="AO418" s="722">
        <f>AD418*Z418</f>
        <v>0</v>
      </c>
      <c r="AP418" s="721"/>
      <c r="AQ418" s="721"/>
      <c r="AR418" s="649"/>
      <c r="AU418" s="70"/>
      <c r="AV418" s="70"/>
      <c r="AW418" s="70"/>
      <c r="AX418" s="70"/>
      <c r="AY418" s="70"/>
      <c r="AZ418" s="70"/>
      <c r="BA418" s="70"/>
    </row>
    <row r="419" spans="2:53" ht="16.5" thickBot="1" x14ac:dyDescent="0.3">
      <c r="C419" s="580" t="str">
        <f t="shared" si="238"/>
        <v>Agricultural contractor</v>
      </c>
      <c r="E419" s="1894" t="str">
        <f t="shared" si="239"/>
        <v>Diesel (Agr. contr.)</v>
      </c>
      <c r="F419" s="1895"/>
      <c r="G419" s="451">
        <v>0</v>
      </c>
      <c r="I419" s="704">
        <f t="shared" si="240"/>
        <v>0</v>
      </c>
      <c r="K419" s="553"/>
      <c r="L419" s="432"/>
      <c r="M419" s="532">
        <f t="shared" si="241"/>
        <v>1912.8392111830244</v>
      </c>
      <c r="N419" s="367">
        <f>M419/M421</f>
        <v>1.5653555878482849E-2</v>
      </c>
      <c r="O419" s="346" t="s">
        <v>123</v>
      </c>
      <c r="P419" s="532">
        <f t="shared" si="242"/>
        <v>1912.8392111830244</v>
      </c>
      <c r="Q419" s="417"/>
      <c r="R419" s="532"/>
      <c r="S419" s="366"/>
      <c r="T419" s="524"/>
      <c r="U419" s="1535" t="str">
        <f t="shared" si="235"/>
        <v>Syn-jetfuel [aviation]</v>
      </c>
      <c r="V419" s="346"/>
      <c r="W419" s="517"/>
      <c r="X419" s="369"/>
      <c r="Y419" s="369"/>
      <c r="AA419" s="416"/>
      <c r="AB419" s="469" t="s">
        <v>127</v>
      </c>
      <c r="AC419" s="1581">
        <f>AC279</f>
        <v>0</v>
      </c>
      <c r="AD419" s="748">
        <f>AC419*P415</f>
        <v>0</v>
      </c>
      <c r="AE419" s="720"/>
      <c r="AF419" s="721"/>
      <c r="AG419" s="721"/>
      <c r="AH419" s="721"/>
      <c r="AI419" s="721"/>
      <c r="AJ419" s="721"/>
      <c r="AK419" s="721"/>
      <c r="AL419" s="721"/>
      <c r="AM419" s="721"/>
      <c r="AN419" s="721"/>
      <c r="AO419" s="721"/>
      <c r="AP419" s="721"/>
      <c r="AQ419" s="722">
        <f>AD419</f>
        <v>0</v>
      </c>
      <c r="AR419" s="649"/>
      <c r="AU419" s="70"/>
      <c r="AV419" s="70"/>
      <c r="AW419" s="70"/>
      <c r="AX419" s="70"/>
      <c r="AY419" s="70"/>
      <c r="AZ419" s="70"/>
      <c r="BA419" s="70"/>
    </row>
    <row r="420" spans="2:53" ht="16.5" thickBot="1" x14ac:dyDescent="0.3">
      <c r="C420" s="584"/>
      <c r="D420" s="532"/>
      <c r="E420" s="842"/>
      <c r="F420" s="460"/>
      <c r="G420" s="843"/>
      <c r="H420" s="829"/>
      <c r="I420" s="532"/>
      <c r="J420" s="417"/>
      <c r="K420" s="553"/>
      <c r="L420" s="432"/>
      <c r="M420" s="532"/>
      <c r="N420" s="367"/>
      <c r="Q420" s="417"/>
      <c r="R420" s="532"/>
      <c r="S420" s="366"/>
      <c r="T420" s="525"/>
      <c r="U420" s="1537" t="str">
        <f t="shared" si="235"/>
        <v>No shift in technology</v>
      </c>
      <c r="V420" s="381"/>
      <c r="W420" s="538"/>
      <c r="X420" s="369"/>
      <c r="Y420" s="369"/>
      <c r="Z420" s="613"/>
      <c r="AA420" s="381"/>
      <c r="AB420" s="416"/>
      <c r="AC420" s="411"/>
      <c r="AD420" s="748">
        <f>P413-SUM(AD414:AD419)</f>
        <v>20560.088673123035</v>
      </c>
      <c r="AE420" s="720"/>
      <c r="AF420" s="722">
        <f>(P414+P416+P417+P418+P419)-(AD414+AD415+AD417+AD418)</f>
        <v>19761.951970237082</v>
      </c>
      <c r="AG420" s="722">
        <f>P415-AD416-AD419</f>
        <v>798.13670288595404</v>
      </c>
      <c r="AH420" s="721"/>
      <c r="AI420" s="721"/>
      <c r="AJ420" s="721"/>
      <c r="AK420" s="721"/>
      <c r="AL420" s="721"/>
      <c r="AM420" s="721"/>
      <c r="AN420" s="721"/>
      <c r="AO420" s="721"/>
      <c r="AP420" s="721"/>
      <c r="AQ420" s="721"/>
      <c r="AR420" s="654"/>
      <c r="AU420" s="70"/>
      <c r="AV420" s="70"/>
      <c r="AW420" s="70"/>
      <c r="AX420" s="70"/>
      <c r="AY420" s="70"/>
      <c r="AZ420" s="70"/>
      <c r="BA420" s="70"/>
    </row>
    <row r="421" spans="2:53" ht="15.75" customHeight="1" thickBot="1" x14ac:dyDescent="0.3">
      <c r="C421" s="588" t="str">
        <f>C281</f>
        <v>Total</v>
      </c>
      <c r="D421" s="696">
        <f>SUM(D341+D353+D365+D383+D389+D395+D399+D403+D408)</f>
        <v>132115.48802052462</v>
      </c>
      <c r="E421" s="816">
        <f>SUM(E408+E403+E399+E395+E389+E383+E365+E353+E341)</f>
        <v>0.99999999999999989</v>
      </c>
      <c r="F421" s="427"/>
      <c r="G421" s="427"/>
      <c r="H421" s="831"/>
      <c r="I421" s="696">
        <f>SUM(I341+I353+I365+I383+I389+I395+I399+I403+I408)</f>
        <v>15671.956601473337</v>
      </c>
      <c r="J421" s="541">
        <f>J408+J403+J399+J395+J389+J383+J365+J353+J341</f>
        <v>1</v>
      </c>
      <c r="K421" s="429"/>
      <c r="L421" s="427"/>
      <c r="M421" s="696">
        <f>SUM(M341,M353,M365,M383+M389,M395:M399,M403:M408,M414,M415,M417,M416,M418,M419)</f>
        <v>122198.38265709236</v>
      </c>
      <c r="N421" s="428">
        <f>N408+N403+N399+N395+N389+N383+N365+N353+N341+N414+N415+N416+N417+N418+N419</f>
        <v>1.0000000000000002</v>
      </c>
      <c r="O421" s="471"/>
      <c r="P421" s="696">
        <f>SUM(P341+P353+P365+P384+P385+P390+P391+P396+P400+P404+P409+P413)</f>
        <v>122198.38265709236</v>
      </c>
      <c r="Q421" s="802"/>
      <c r="R421" s="696">
        <f>SUM(R341+R353+R365+R384+R385+R390+R391+R396+R400+R404+R409)</f>
        <v>132115.48802052462</v>
      </c>
      <c r="S421" s="800"/>
      <c r="T421" s="528"/>
      <c r="U421" s="632"/>
      <c r="V421" s="472"/>
      <c r="W421" s="775"/>
      <c r="X421" s="471"/>
      <c r="Y421" s="471"/>
      <c r="Z421" s="471"/>
      <c r="AA421" s="471"/>
      <c r="AB421" s="471"/>
      <c r="AC421" s="471"/>
      <c r="AD421" s="710">
        <f>AD408+AD403+AD399+AD395+AD389+AD383+AD365+AD353+AD341+AD413</f>
        <v>122198.38265709238</v>
      </c>
      <c r="AE421" s="846">
        <f t="shared" ref="AE421:AQ421" si="243">SUM(AE342:AE420)</f>
        <v>1395.099593779214</v>
      </c>
      <c r="AF421" s="847">
        <f t="shared" si="243"/>
        <v>107177.01111063053</v>
      </c>
      <c r="AG421" s="847">
        <f t="shared" si="243"/>
        <v>8276.8967282756603</v>
      </c>
      <c r="AH421" s="847">
        <f t="shared" si="243"/>
        <v>0</v>
      </c>
      <c r="AI421" s="847">
        <f t="shared" si="243"/>
        <v>0</v>
      </c>
      <c r="AJ421" s="847">
        <f t="shared" si="243"/>
        <v>1345.6738643185715</v>
      </c>
      <c r="AK421" s="847">
        <f t="shared" si="243"/>
        <v>3781.7891966313691</v>
      </c>
      <c r="AL421" s="847">
        <f t="shared" si="243"/>
        <v>0</v>
      </c>
      <c r="AM421" s="847">
        <f t="shared" si="243"/>
        <v>0</v>
      </c>
      <c r="AN421" s="847">
        <f t="shared" si="243"/>
        <v>0</v>
      </c>
      <c r="AO421" s="847">
        <f t="shared" si="243"/>
        <v>0</v>
      </c>
      <c r="AP421" s="847">
        <f t="shared" si="243"/>
        <v>221.91216345702162</v>
      </c>
      <c r="AQ421" s="848">
        <f t="shared" si="243"/>
        <v>0</v>
      </c>
      <c r="AR421" s="745"/>
      <c r="AU421" s="70"/>
      <c r="AV421" s="70"/>
      <c r="AW421" s="70"/>
      <c r="AX421" s="70"/>
      <c r="AY421" s="70"/>
      <c r="AZ421" s="70"/>
      <c r="BA421" s="70"/>
    </row>
    <row r="422" spans="2:53" ht="15.75" customHeight="1" thickBot="1" x14ac:dyDescent="0.3">
      <c r="C422" s="5"/>
      <c r="V422" s="346"/>
      <c r="AU422" s="327"/>
      <c r="AV422" s="327"/>
      <c r="AW422" s="327"/>
      <c r="AX422" s="327"/>
      <c r="AY422" s="327"/>
      <c r="AZ422" s="70"/>
      <c r="BA422" s="70"/>
    </row>
    <row r="423" spans="2:53" ht="15.75" customHeight="1" thickBot="1" x14ac:dyDescent="0.3">
      <c r="C423" s="5"/>
      <c r="D423" s="1907" t="str">
        <f>$D$3</f>
        <v>Transport demand by mode of transport</v>
      </c>
      <c r="E423" s="1908"/>
      <c r="F423" s="1908"/>
      <c r="G423" s="1908"/>
      <c r="H423" s="1908"/>
      <c r="I423" s="1908"/>
      <c r="J423" s="1909"/>
      <c r="K423" s="1907" t="str">
        <f>$K$3</f>
        <v>Transport-energy demand by mode of tranport</v>
      </c>
      <c r="L423" s="1908"/>
      <c r="M423" s="1908"/>
      <c r="N423" s="1908"/>
      <c r="O423" s="1907" t="str">
        <f>$O$3</f>
        <v>Transport and transport-energy demand by fuel</v>
      </c>
      <c r="P423" s="1908"/>
      <c r="Q423" s="1908"/>
      <c r="R423" s="1908"/>
      <c r="S423" s="1909"/>
      <c r="U423" s="849" t="str">
        <f>$U$3</f>
        <v>Implementation of potential technologies</v>
      </c>
      <c r="V423" s="850"/>
      <c r="W423" s="850"/>
      <c r="X423" s="850"/>
      <c r="Y423" s="850"/>
      <c r="Z423" s="850"/>
      <c r="AA423" s="850"/>
      <c r="AB423" s="850"/>
      <c r="AC423" s="850"/>
      <c r="AD423" s="851"/>
      <c r="AE423" s="1901" t="str">
        <f>$AE$3</f>
        <v>Fuel consumpiton after the new technologies are implemented</v>
      </c>
      <c r="AF423" s="1902"/>
      <c r="AG423" s="1902"/>
      <c r="AH423" s="1902"/>
      <c r="AI423" s="1902"/>
      <c r="AJ423" s="1902"/>
      <c r="AK423" s="1902"/>
      <c r="AL423" s="1902"/>
      <c r="AM423" s="1902"/>
      <c r="AN423" s="1902"/>
      <c r="AO423" s="1902"/>
      <c r="AP423" s="1902"/>
      <c r="AQ423" s="1903"/>
      <c r="AU423" s="70"/>
      <c r="AV423" s="70"/>
      <c r="AW423" s="70"/>
      <c r="AX423" s="70"/>
      <c r="AY423" s="70"/>
      <c r="AZ423" s="327"/>
      <c r="BA423" s="327"/>
    </row>
    <row r="424" spans="2:53" ht="57" thickBot="1" x14ac:dyDescent="0.3">
      <c r="C424" s="1953" t="str">
        <f>C284</f>
        <v>Passenger transport</v>
      </c>
      <c r="D424" s="1904" t="str">
        <f>$D$4</f>
        <v>Transport demand</v>
      </c>
      <c r="E424" s="1905"/>
      <c r="F424" s="326" t="str">
        <f>$F$4</f>
        <v>Capacity</v>
      </c>
      <c r="G424" s="1916" t="str">
        <f>$G$4</f>
        <v>Load factor</v>
      </c>
      <c r="H424" s="1916"/>
      <c r="I424" s="1916" t="str">
        <f>$I$4</f>
        <v>Traffic work</v>
      </c>
      <c r="J424" s="1916"/>
      <c r="K424" s="1928" t="s">
        <v>36</v>
      </c>
      <c r="L424" s="1927"/>
      <c r="M424" s="1916" t="str">
        <f>$M$4</f>
        <v>Energy demand</v>
      </c>
      <c r="N424" s="1920"/>
      <c r="O424" s="1904" t="str">
        <f>$O$4</f>
        <v>Total fuel consumption</v>
      </c>
      <c r="P424" s="1905"/>
      <c r="Q424" s="1905"/>
      <c r="R424" s="1905" t="str">
        <f>$R$4</f>
        <v>Transport demand</v>
      </c>
      <c r="S424" s="1906"/>
      <c r="T424" s="518" t="str">
        <f>$T$4</f>
        <v>No of vehicles</v>
      </c>
      <c r="U424" s="328" t="str">
        <f>$U$4</f>
        <v>Type of technology</v>
      </c>
      <c r="V424" s="927" t="str">
        <f>$V$4</f>
        <v>Share</v>
      </c>
      <c r="W424" s="712" t="str">
        <f>$W$4</f>
        <v>CO2-emissions</v>
      </c>
      <c r="X424" s="328" t="str">
        <f>$X$4</f>
        <v>Specific energy consumption to move the vehicle</v>
      </c>
      <c r="Y424" s="328" t="str">
        <f>$Y$4</f>
        <v>Engine efficiency</v>
      </c>
      <c r="Z424" s="1905" t="str">
        <f>$Z$4</f>
        <v xml:space="preserve">Specific energy consumption </v>
      </c>
      <c r="AA424" s="1905"/>
      <c r="AB424" s="1905"/>
      <c r="AC424" s="328" t="str">
        <f>$AC$4</f>
        <v>Utilization efficiency</v>
      </c>
      <c r="AD424" s="712" t="str">
        <f>$AD$4</f>
        <v>Energy demand</v>
      </c>
      <c r="AE424" s="711" t="str">
        <f>$AE$4</f>
        <v>Petrol</v>
      </c>
      <c r="AF424" s="712" t="str">
        <f>$AF$4</f>
        <v>Diesel</v>
      </c>
      <c r="AG424" s="712" t="str">
        <f>$AG$4</f>
        <v xml:space="preserve">Jet fuel </v>
      </c>
      <c r="AH424" s="712" t="str">
        <f>$AH$4</f>
        <v>Syn-methanol</v>
      </c>
      <c r="AI424" s="712" t="str">
        <f>$AI$4</f>
        <v>Bio-methanol</v>
      </c>
      <c r="AJ424" s="712" t="str">
        <f>$AJ$4</f>
        <v>Bioethanol</v>
      </c>
      <c r="AK424" s="712" t="str">
        <f>$AK$4</f>
        <v>Biodiesel</v>
      </c>
      <c r="AL424" s="712" t="str">
        <f>$AL$4</f>
        <v>Biogas</v>
      </c>
      <c r="AM424" s="712" t="str">
        <f>$AM$4</f>
        <v>Bio-jetfuel</v>
      </c>
      <c r="AN424" s="712" t="str">
        <f>$AN$4</f>
        <v>Electricity BEV</v>
      </c>
      <c r="AO424" s="712" t="str">
        <f>$AO$4</f>
        <v>Electricity Plug-in-hybrid</v>
      </c>
      <c r="AP424" s="712" t="str">
        <f>$AP$4</f>
        <v>Electricity Train / bus</v>
      </c>
      <c r="AQ424" s="656" t="str">
        <f>$AQ$4</f>
        <v>Syn-jetfuel</v>
      </c>
      <c r="AR424" s="518" t="str">
        <f>$AR$4</f>
        <v>No of vehicles</v>
      </c>
      <c r="AU424" s="70"/>
      <c r="AV424" s="70"/>
      <c r="AW424" s="70"/>
      <c r="AX424" s="70"/>
      <c r="AY424" s="70"/>
      <c r="AZ424" s="70"/>
      <c r="BA424" s="70"/>
    </row>
    <row r="425" spans="2:53" ht="15.75" customHeight="1" thickBot="1" x14ac:dyDescent="0.3">
      <c r="B425" s="1938">
        <v>2050</v>
      </c>
      <c r="C425" s="1954"/>
      <c r="D425" s="690" t="str">
        <f>D$5</f>
        <v>Mpkm</v>
      </c>
      <c r="E425" s="783" t="str">
        <f t="shared" ref="E425:S425" si="244">E$5</f>
        <v>%</v>
      </c>
      <c r="F425" s="348" t="str">
        <f t="shared" si="244"/>
        <v>p/vehicle</v>
      </c>
      <c r="G425" s="349" t="str">
        <f t="shared" si="244"/>
        <v>%</v>
      </c>
      <c r="H425" s="819" t="str">
        <f t="shared" si="244"/>
        <v>p/vehicle</v>
      </c>
      <c r="I425" s="746" t="str">
        <f t="shared" si="244"/>
        <v>Mkm</v>
      </c>
      <c r="J425" s="808" t="str">
        <f t="shared" si="244"/>
        <v>%</v>
      </c>
      <c r="K425" s="350" t="str">
        <f>K$5</f>
        <v>MJ/pkm</v>
      </c>
      <c r="L425" s="348" t="str">
        <f>L$5</f>
        <v>MJ/km</v>
      </c>
      <c r="M425" s="690" t="str">
        <f>M$5</f>
        <v>TJ</v>
      </c>
      <c r="N425" s="784" t="str">
        <f>N$5</f>
        <v>%</v>
      </c>
      <c r="O425" s="348" t="str">
        <f t="shared" si="244"/>
        <v>Fuel</v>
      </c>
      <c r="P425" s="746" t="str">
        <f t="shared" si="244"/>
        <v>TJ</v>
      </c>
      <c r="Q425" s="808" t="str">
        <f t="shared" si="244"/>
        <v>% TJ</v>
      </c>
      <c r="R425" s="746" t="str">
        <f t="shared" si="244"/>
        <v>Mpkm</v>
      </c>
      <c r="S425" s="794" t="str">
        <f t="shared" si="244"/>
        <v>%</v>
      </c>
      <c r="T425" s="519"/>
      <c r="U425" s="348"/>
      <c r="V425" s="350" t="str">
        <f t="shared" ref="V425" si="245">V$5</f>
        <v>% of traffic work</v>
      </c>
      <c r="W425" s="746" t="str">
        <f t="shared" ref="W425:AD425" si="246">W$5</f>
        <v>[g/km]</v>
      </c>
      <c r="X425" s="348" t="str">
        <f>X$5</f>
        <v>MJ_mech/km</v>
      </c>
      <c r="Y425" s="348" t="str">
        <f>Y$5</f>
        <v xml:space="preserve"> (MJ_mech/MJ)</v>
      </c>
      <c r="Z425" s="349" t="str">
        <f t="shared" si="246"/>
        <v>[km/Liter]</v>
      </c>
      <c r="AA425" s="349" t="str">
        <f t="shared" si="246"/>
        <v>[km/MJ]</v>
      </c>
      <c r="AB425" s="348" t="str">
        <f t="shared" si="246"/>
        <v>[MJ/km]</v>
      </c>
      <c r="AC425" s="349" t="str">
        <f t="shared" si="246"/>
        <v>MJ/pkm</v>
      </c>
      <c r="AD425" s="746" t="str">
        <f t="shared" si="246"/>
        <v>Total TJ</v>
      </c>
      <c r="AE425" s="713" t="str">
        <f>AE$60</f>
        <v>TJ</v>
      </c>
      <c r="AF425" s="714" t="str">
        <f>AF$60</f>
        <v>TJ</v>
      </c>
      <c r="AG425" s="714" t="str">
        <f>AG$60</f>
        <v>TJ</v>
      </c>
      <c r="AH425" s="714" t="str">
        <f>AH$60</f>
        <v>TJ</v>
      </c>
      <c r="AI425" s="714" t="s">
        <v>2</v>
      </c>
      <c r="AJ425" s="714" t="str">
        <f>AJ$60</f>
        <v>TJ</v>
      </c>
      <c r="AK425" s="714"/>
      <c r="AL425" s="714" t="str">
        <f t="shared" ref="AL425:AQ425" si="247">AL$60</f>
        <v>TJ</v>
      </c>
      <c r="AM425" s="714" t="str">
        <f t="shared" si="247"/>
        <v>TJ</v>
      </c>
      <c r="AN425" s="714" t="str">
        <f t="shared" si="247"/>
        <v>TJ</v>
      </c>
      <c r="AO425" s="714" t="str">
        <f t="shared" si="247"/>
        <v>TJ</v>
      </c>
      <c r="AP425" s="714" t="str">
        <f t="shared" si="247"/>
        <v>TJ</v>
      </c>
      <c r="AQ425" s="715" t="str">
        <f t="shared" si="247"/>
        <v>TJ</v>
      </c>
      <c r="AR425" s="519"/>
      <c r="AU425" s="70"/>
      <c r="AV425" s="70"/>
      <c r="AW425" s="70"/>
      <c r="AX425" s="70"/>
      <c r="AY425" s="70"/>
      <c r="AZ425" s="70"/>
      <c r="BA425" s="70"/>
    </row>
    <row r="426" spans="2:53" ht="15.75" customHeight="1" thickBot="1" x14ac:dyDescent="0.3">
      <c r="B426" s="1939"/>
      <c r="C426" s="589" t="str">
        <f t="shared" ref="C426:C437" si="248">C286</f>
        <v>Cars and vans &lt; 2 t</v>
      </c>
      <c r="D426" s="529">
        <f>D427+D432+D437</f>
        <v>99080.363550342168</v>
      </c>
      <c r="E426" s="1360">
        <f t="shared" ref="E426:E437" si="249">D426/$D$476</f>
        <v>0.60823318967028084</v>
      </c>
      <c r="F426" s="1346">
        <v>4</v>
      </c>
      <c r="G426" s="1336">
        <f>H426/F426</f>
        <v>0.37449508243052765</v>
      </c>
      <c r="H426" s="1337">
        <f>((H427*I427)+(H432*I432)+(H437*I437))/(I427+I432+I437)</f>
        <v>1.4979803297221106</v>
      </c>
      <c r="I426" s="757">
        <f>SUM(I427+I432+I437)</f>
        <v>66142.63324053293</v>
      </c>
      <c r="J426" s="795">
        <f>I426/I476</f>
        <v>0.93913388210568549</v>
      </c>
      <c r="K426" s="1338">
        <f>L426/H426</f>
        <v>1.1773132268438915</v>
      </c>
      <c r="L426" s="1324">
        <f>((L427*I427)+(L432*I432)+(L437*I437))/(I427+I432+I437)</f>
        <v>1.7635920557338147</v>
      </c>
      <c r="M426" s="757">
        <f>M427+M432+M437</f>
        <v>116648.62252831922</v>
      </c>
      <c r="N426" s="353">
        <f t="shared" ref="N426:N437" si="250">M426/$M$476</f>
        <v>0.71943254040175986</v>
      </c>
      <c r="O426" s="682" t="s">
        <v>60</v>
      </c>
      <c r="P426" s="759">
        <f>SUM(P427:P430)</f>
        <v>116648.62252831922</v>
      </c>
      <c r="Q426" s="801">
        <f>SUM(Q427:Q430)</f>
        <v>1</v>
      </c>
      <c r="R426" s="759">
        <f>SUM(R427:R430)</f>
        <v>99080.363550342168</v>
      </c>
      <c r="S426" s="797">
        <f>SUM(S427:S430)</f>
        <v>1</v>
      </c>
      <c r="T426" s="676">
        <f>T286*(I426/I286)/(1.01^20)</f>
        <v>2726880.0786693594</v>
      </c>
      <c r="U426" s="496" t="str">
        <f>U286</f>
        <v xml:space="preserve">Sum </v>
      </c>
      <c r="V426" s="360"/>
      <c r="W426" s="694"/>
      <c r="X426" s="58"/>
      <c r="Y426" s="600"/>
      <c r="Z426" s="361"/>
      <c r="AA426" s="4"/>
      <c r="AB426" s="4"/>
      <c r="AC426" s="4"/>
      <c r="AD426" s="751">
        <f>SUM(AD427:AD443)</f>
        <v>116648.62252831922</v>
      </c>
      <c r="AE426" s="716"/>
      <c r="AF426" s="717"/>
      <c r="AG426" s="717"/>
      <c r="AH426" s="717"/>
      <c r="AI426" s="717"/>
      <c r="AJ426" s="718"/>
      <c r="AK426" s="718"/>
      <c r="AL426" s="718"/>
      <c r="AM426" s="718"/>
      <c r="AN426" s="718"/>
      <c r="AO426" s="718"/>
      <c r="AP426" s="717"/>
      <c r="AQ426" s="719"/>
      <c r="AR426" s="644">
        <f>SUM(AR427:AR443)</f>
        <v>2726880.0786693594</v>
      </c>
      <c r="AU426" s="70"/>
      <c r="AV426" s="70"/>
      <c r="AW426" s="70"/>
      <c r="AX426" s="70"/>
      <c r="AY426" s="70"/>
      <c r="AZ426" s="70"/>
      <c r="BA426" s="70"/>
    </row>
    <row r="427" spans="2:53" ht="15.75" customHeight="1" thickBot="1" x14ac:dyDescent="0.3">
      <c r="B427" s="1939"/>
      <c r="C427" s="590" t="str">
        <f t="shared" si="248"/>
        <v>Leisure</v>
      </c>
      <c r="D427" s="538">
        <f>SUM(D428:D431)</f>
        <v>54211.851571355619</v>
      </c>
      <c r="E427" s="546">
        <f t="shared" si="249"/>
        <v>0.33279497791127743</v>
      </c>
      <c r="F427" s="364">
        <v>4</v>
      </c>
      <c r="G427" s="381">
        <f>H427/F427</f>
        <v>0.46250000000000002</v>
      </c>
      <c r="H427" s="827">
        <f>((H428*I428)+(H429*I429)+(H430*I430)+(H431*I431))/(I428+I429+I430+I431)</f>
        <v>1.85</v>
      </c>
      <c r="I427" s="538">
        <f>SUM(I428:I431)</f>
        <v>29303.703552084116</v>
      </c>
      <c r="J427" s="661">
        <f>I427/I476</f>
        <v>0.41607204806715048</v>
      </c>
      <c r="K427" s="363">
        <f>L427/H427</f>
        <v>0.95900468137820749</v>
      </c>
      <c r="L427" s="363">
        <f>M427/I427</f>
        <v>1.774158660549684</v>
      </c>
      <c r="M427" s="538">
        <f>SUM(M428:M431)</f>
        <v>51989.419443110572</v>
      </c>
      <c r="N427" s="365">
        <f t="shared" si="250"/>
        <v>0.32064570753837451</v>
      </c>
      <c r="O427" s="450" t="s">
        <v>3</v>
      </c>
      <c r="P427" s="532">
        <f>Q427*M426</f>
        <v>70825.010253897737</v>
      </c>
      <c r="Q427" s="358">
        <f>(Q287+Q290)*1.02^20-Q430</f>
        <v>0.60716542312107702</v>
      </c>
      <c r="R427" s="532">
        <f>S427*D426</f>
        <v>63832.559487216531</v>
      </c>
      <c r="S427" s="367">
        <f>(Q427*Z428)/(Q427*Z428+Q428*Z432+Q429*Z433+Q430*Z434)</f>
        <v>0.64425035597274094</v>
      </c>
      <c r="T427" s="677">
        <f>S427*T426</f>
        <v>1756793.4613777106</v>
      </c>
      <c r="U427" s="497" t="str">
        <f>U287</f>
        <v>Battery electric vehicles</v>
      </c>
      <c r="V427" s="1579">
        <f>V287</f>
        <v>0</v>
      </c>
      <c r="W427" s="694"/>
      <c r="X427" s="61">
        <v>0.37919999999999998</v>
      </c>
      <c r="Y427" s="347">
        <f>Y287</f>
        <v>0.9</v>
      </c>
      <c r="Z427" s="61"/>
      <c r="AA427" s="61">
        <f>1/AB427</f>
        <v>2.3734177215189876</v>
      </c>
      <c r="AB427" s="61">
        <f>X427/Y427</f>
        <v>0.42133333333333328</v>
      </c>
      <c r="AC427" s="61">
        <f>AB427/H426</f>
        <v>0.28126760076448704</v>
      </c>
      <c r="AD427" s="752">
        <f t="shared" ref="AD427:AD433" si="251">V427*AB427*$I$426</f>
        <v>0</v>
      </c>
      <c r="AE427" s="720"/>
      <c r="AF427" s="721"/>
      <c r="AG427" s="721"/>
      <c r="AH427" s="721"/>
      <c r="AI427" s="721"/>
      <c r="AJ427" s="721"/>
      <c r="AK427" s="721"/>
      <c r="AL427" s="721"/>
      <c r="AM427" s="721"/>
      <c r="AN427" s="722">
        <f>AD427</f>
        <v>0</v>
      </c>
      <c r="AO427" s="721"/>
      <c r="AP427" s="721"/>
      <c r="AQ427" s="723"/>
      <c r="AR427" s="645">
        <f>V427*T426</f>
        <v>0</v>
      </c>
      <c r="AU427" s="70"/>
      <c r="AV427" s="70"/>
      <c r="AW427" s="70"/>
      <c r="AX427" s="70"/>
      <c r="AY427" s="70"/>
      <c r="AZ427" s="70"/>
      <c r="BA427" s="70"/>
    </row>
    <row r="428" spans="2:53" ht="15.75" customHeight="1" x14ac:dyDescent="0.25">
      <c r="B428" s="1939"/>
      <c r="C428" s="591" t="str">
        <f t="shared" si="248"/>
        <v>&lt; 5km</v>
      </c>
      <c r="D428" s="691">
        <f>((D288*(1+'Growth, Modal Shift, InfraCosts'!K8)^'Growth, Modal Shift, InfraCosts'!$L$4))*(1-'Growth, Modal Shift, InfraCosts'!T6)</f>
        <v>1776.3968587919248</v>
      </c>
      <c r="E428" s="546">
        <f t="shared" si="249"/>
        <v>1.0904920902861874E-2</v>
      </c>
      <c r="F428" s="364">
        <v>4</v>
      </c>
      <c r="G428" s="381">
        <f>H428/F428</f>
        <v>0.46250000000000002</v>
      </c>
      <c r="H428" s="1347">
        <v>1.85</v>
      </c>
      <c r="I428" s="538">
        <f t="shared" ref="I428:I437" si="252">D428/H428</f>
        <v>960.21451826590533</v>
      </c>
      <c r="J428" s="473">
        <f t="shared" ref="J428:J437" si="253">I428/$I$476</f>
        <v>1.3633717679698997E-2</v>
      </c>
      <c r="K428" s="557">
        <f>(L428/H428)</f>
        <v>1.3038140500315634</v>
      </c>
      <c r="L428" s="1348">
        <f>L8*$AZ$9</f>
        <v>2.4120559925583924</v>
      </c>
      <c r="M428" s="538">
        <f>K428*D428</f>
        <v>2316.0911829248466</v>
      </c>
      <c r="N428" s="372">
        <f t="shared" si="250"/>
        <v>1.4284535277124363E-2</v>
      </c>
      <c r="O428" s="58" t="s">
        <v>41</v>
      </c>
      <c r="P428" s="694">
        <f>Q428*M426</f>
        <v>39116.316479043126</v>
      </c>
      <c r="Q428" s="358">
        <f>1-Q427-Q430-Q429</f>
        <v>0.33533457687892299</v>
      </c>
      <c r="R428" s="694">
        <f>S428*D426</f>
        <v>30885.970837500961</v>
      </c>
      <c r="S428" s="367">
        <f>(Q428*Z432)/(Q427*Z428+Q428*Z432+Q429*Z433+Q430*Z434)</f>
        <v>0.31172645851070152</v>
      </c>
      <c r="T428" s="677">
        <f>S428*T426</f>
        <v>850040.66970698256</v>
      </c>
      <c r="U428" s="497" t="str">
        <f>U288</f>
        <v>ICE Diesel</v>
      </c>
      <c r="V428" s="1577">
        <f>V288</f>
        <v>0</v>
      </c>
      <c r="W428" s="694">
        <f>AB428*74</f>
        <v>107.7187756521739</v>
      </c>
      <c r="X428" s="61">
        <v>0.36391478260869564</v>
      </c>
      <c r="Y428" s="347">
        <v>0.25</v>
      </c>
      <c r="Z428" s="61">
        <f>1/((AB428/42700)/0.84*1000)</f>
        <v>24.64038403639648</v>
      </c>
      <c r="AA428" s="61">
        <f>1/AB428</f>
        <v>0.68697401685057657</v>
      </c>
      <c r="AB428" s="628">
        <v>1.4556591304347826</v>
      </c>
      <c r="AC428" s="61">
        <f>AB428/$H$426</f>
        <v>0.97174782709250995</v>
      </c>
      <c r="AD428" s="752">
        <f t="shared" si="251"/>
        <v>0</v>
      </c>
      <c r="AE428" s="725"/>
      <c r="AF428" s="722">
        <f>AD428</f>
        <v>0</v>
      </c>
      <c r="AG428" s="721"/>
      <c r="AH428" s="721"/>
      <c r="AI428" s="721"/>
      <c r="AJ428" s="721"/>
      <c r="AK428" s="721"/>
      <c r="AL428" s="721"/>
      <c r="AM428" s="721"/>
      <c r="AN428" s="721"/>
      <c r="AO428" s="721"/>
      <c r="AP428" s="721"/>
      <c r="AQ428" s="723"/>
      <c r="AR428" s="645">
        <f>V428*T426</f>
        <v>0</v>
      </c>
      <c r="AU428" s="70"/>
      <c r="AV428" s="1964"/>
      <c r="AW428" s="1964"/>
      <c r="AX428" s="1964"/>
      <c r="AY428" s="1964"/>
      <c r="AZ428" s="70"/>
      <c r="BA428" s="70"/>
    </row>
    <row r="429" spans="2:53" ht="15.75" customHeight="1" thickBot="1" x14ac:dyDescent="0.3">
      <c r="B429" s="1940"/>
      <c r="C429" s="591" t="str">
        <f t="shared" si="248"/>
        <v>5-25 km</v>
      </c>
      <c r="D429" s="691">
        <f>((D289*(1+'Growth, Modal Shift, InfraCosts'!K9)^'Growth, Modal Shift, InfraCosts'!$L$4))*(1-'Growth, Modal Shift, InfraCosts'!T6)</f>
        <v>10815.452032897361</v>
      </c>
      <c r="E429" s="546">
        <f t="shared" si="249"/>
        <v>6.6393750002266397E-2</v>
      </c>
      <c r="F429" s="364">
        <v>4</v>
      </c>
      <c r="G429" s="381">
        <f t="shared" ref="G429:G437" si="254">H429/F429</f>
        <v>0.46250000000000002</v>
      </c>
      <c r="H429" s="1349">
        <v>1.85</v>
      </c>
      <c r="I429" s="538">
        <f t="shared" si="252"/>
        <v>5846.1902880526277</v>
      </c>
      <c r="J429" s="473">
        <f t="shared" si="253"/>
        <v>8.3007813746714731E-2</v>
      </c>
      <c r="K429" s="557">
        <f>(L429/H429)</f>
        <v>1.3038140500315634</v>
      </c>
      <c r="L429" s="1350">
        <f>L9*$AZ$9</f>
        <v>2.4120559925583924</v>
      </c>
      <c r="M429" s="538">
        <f>K429*D429</f>
        <v>14101.338317934014</v>
      </c>
      <c r="N429" s="372">
        <f t="shared" si="250"/>
        <v>8.6970265308302444E-2</v>
      </c>
      <c r="O429" s="916" t="s">
        <v>43</v>
      </c>
      <c r="P429" s="912">
        <f>Q429*M426</f>
        <v>3353.6478976891776</v>
      </c>
      <c r="Q429" s="913">
        <f>Q289</f>
        <v>2.8750000000000001E-2</v>
      </c>
      <c r="R429" s="912">
        <f>S429*D426</f>
        <v>1700.2929273580708</v>
      </c>
      <c r="S429" s="914">
        <f>Q429*Z433/(Q427*Z428+Q428*Z432+Q429*Z433+Q430*Z434)</f>
        <v>1.7160745746498614E-2</v>
      </c>
      <c r="T429" s="677">
        <f>S429*T426</f>
        <v>46795.29571123702</v>
      </c>
      <c r="U429" s="497" t="str">
        <f>U289</f>
        <v>ICE hybrid vehicle Diesel</v>
      </c>
      <c r="V429" s="1577">
        <f>V289</f>
        <v>0</v>
      </c>
      <c r="W429" s="694">
        <f>AB429*74</f>
        <v>80.75889341614905</v>
      </c>
      <c r="X429" s="61">
        <f>X436</f>
        <v>0.36391478260869564</v>
      </c>
      <c r="Y429" s="347">
        <f>X429/AB429</f>
        <v>0.33345793601053042</v>
      </c>
      <c r="Z429" s="61">
        <f>1/((AB429/42700)/0.84*1000)</f>
        <v>32.866126413134374</v>
      </c>
      <c r="AA429" s="61">
        <f>AA435</f>
        <v>0.91630775100742656</v>
      </c>
      <c r="AB429" s="61">
        <f>1/AA429</f>
        <v>1.0913363975155277</v>
      </c>
      <c r="AC429" s="61">
        <f>AB429/$H$426</f>
        <v>0.72853853676301661</v>
      </c>
      <c r="AD429" s="752">
        <f t="shared" si="251"/>
        <v>0</v>
      </c>
      <c r="AE429" s="720"/>
      <c r="AF429" s="722">
        <f>AD429</f>
        <v>0</v>
      </c>
      <c r="AG429" s="721"/>
      <c r="AH429" s="721"/>
      <c r="AI429" s="721"/>
      <c r="AJ429" s="721"/>
      <c r="AK429" s="721"/>
      <c r="AL429" s="721"/>
      <c r="AM429" s="721"/>
      <c r="AN429" s="721"/>
      <c r="AO429" s="721"/>
      <c r="AP429" s="721"/>
      <c r="AQ429" s="723"/>
      <c r="AR429" s="645">
        <f>V429*T426</f>
        <v>0</v>
      </c>
      <c r="AU429" s="70"/>
      <c r="AV429" s="70"/>
      <c r="AW429" s="70"/>
      <c r="AX429" s="70"/>
      <c r="AY429" s="70"/>
      <c r="AZ429" s="70"/>
      <c r="BA429" s="70"/>
    </row>
    <row r="430" spans="2:53" ht="15.75" customHeight="1" x14ac:dyDescent="0.25">
      <c r="C430" s="591" t="str">
        <f t="shared" si="248"/>
        <v>25-50km</v>
      </c>
      <c r="D430" s="691">
        <f>((D290*(1+'Growth, Modal Shift, InfraCosts'!K10)^'Growth, Modal Shift, InfraCosts'!$L$4))*(1-'Growth, Modal Shift, InfraCosts'!T7)</f>
        <v>12946.045203297597</v>
      </c>
      <c r="E430" s="546">
        <f t="shared" si="249"/>
        <v>7.9473006410765684E-2</v>
      </c>
      <c r="F430" s="364">
        <v>4</v>
      </c>
      <c r="G430" s="381">
        <f t="shared" si="254"/>
        <v>0.46250000000000002</v>
      </c>
      <c r="H430" s="1349">
        <v>1.85</v>
      </c>
      <c r="I430" s="538">
        <f t="shared" si="252"/>
        <v>6997.8622720527546</v>
      </c>
      <c r="J430" s="473">
        <f t="shared" si="253"/>
        <v>9.9359962553871625E-2</v>
      </c>
      <c r="K430" s="557">
        <f>(L430/H430)</f>
        <v>1.3038140500315634</v>
      </c>
      <c r="L430" s="1350">
        <f>L10*$AZ$9</f>
        <v>2.4120559925583924</v>
      </c>
      <c r="M430" s="538">
        <f>K430*D430</f>
        <v>16879.235628403134</v>
      </c>
      <c r="N430" s="372">
        <f t="shared" si="250"/>
        <v>0.10410299843218335</v>
      </c>
      <c r="O430" s="916" t="s">
        <v>74</v>
      </c>
      <c r="P430" s="912">
        <f>Q430*M426</f>
        <v>3353.6478976891776</v>
      </c>
      <c r="Q430" s="913">
        <f>Q290</f>
        <v>2.8750000000000001E-2</v>
      </c>
      <c r="R430" s="912">
        <f>S430*D426</f>
        <v>2661.540298266611</v>
      </c>
      <c r="S430" s="914">
        <f>Q430*Z434/(Q427*Z428+Q428*Z432+Q429*Z433+Q430*Z434)</f>
        <v>2.6862439770058952E-2</v>
      </c>
      <c r="T430" s="677">
        <f>S430*T426</f>
        <v>73250.651873429291</v>
      </c>
      <c r="U430" s="497" t="str">
        <f>U290</f>
        <v>ICE Plug-in hybrid vehicle Diesel</v>
      </c>
      <c r="V430" s="1577">
        <f>V290</f>
        <v>0</v>
      </c>
      <c r="W430" s="694">
        <f>AB430*74</f>
        <v>37.170039907582442</v>
      </c>
      <c r="X430" s="61">
        <f>X428</f>
        <v>0.36391478260869564</v>
      </c>
      <c r="Y430" s="347">
        <f>Y290</f>
        <v>0.72450000000000003</v>
      </c>
      <c r="Z430" s="61">
        <f>1/((AB430/42700)/0.84*1000)</f>
        <v>71.407832937476996</v>
      </c>
      <c r="AA430" s="61">
        <f>1/AB430</f>
        <v>1.990850700832971</v>
      </c>
      <c r="AB430" s="61">
        <f>X430/Y430</f>
        <v>0.50229783658895188</v>
      </c>
      <c r="AC430" s="61">
        <f>AB430/$H$426</f>
        <v>0.33531671052191508</v>
      </c>
      <c r="AD430" s="752">
        <f t="shared" si="251"/>
        <v>0</v>
      </c>
      <c r="AE430" s="720"/>
      <c r="AF430" s="722">
        <f>AD430*$AW$17</f>
        <v>0</v>
      </c>
      <c r="AG430" s="721"/>
      <c r="AH430" s="721"/>
      <c r="AI430" s="721"/>
      <c r="AJ430" s="721"/>
      <c r="AK430" s="721"/>
      <c r="AL430" s="721"/>
      <c r="AM430" s="721"/>
      <c r="AN430" s="721"/>
      <c r="AO430" s="722">
        <f>AD430*$AX$17</f>
        <v>0</v>
      </c>
      <c r="AP430" s="721"/>
      <c r="AQ430" s="723"/>
      <c r="AR430" s="645">
        <f>V430*T426</f>
        <v>0</v>
      </c>
      <c r="AU430" s="70"/>
      <c r="AV430" s="70"/>
      <c r="AW430" s="70"/>
      <c r="AX430" s="70"/>
      <c r="AY430" s="70"/>
      <c r="AZ430" s="70"/>
      <c r="BA430" s="70"/>
    </row>
    <row r="431" spans="2:53" ht="15.75" customHeight="1" thickBot="1" x14ac:dyDescent="0.3">
      <c r="C431" s="591" t="str">
        <f t="shared" si="248"/>
        <v>&gt;50 km</v>
      </c>
      <c r="D431" s="691">
        <f>(D291*(1+'Growth, Modal Shift, InfraCosts'!K11)^'Growth, Modal Shift, InfraCosts'!$L$4)
-(D291*(1+'Growth, Modal Shift, InfraCosts'!K11)^'Growth, Modal Shift, InfraCosts'!$L$4)*'Growth, Modal Shift, InfraCosts'!T8
-(D291*(1+'Growth, Modal Shift, InfraCosts'!K11)^'Growth, Modal Shift, InfraCosts'!$L$4)*'Growth, Modal Shift, InfraCosts'!T7-(D291*(1+'Growth, Modal Shift, InfraCosts'!K11)^'Growth, Modal Shift, InfraCosts'!$L$4)*'Growth, Modal Shift, InfraCosts'!T9</f>
        <v>28673.957476368734</v>
      </c>
      <c r="E431" s="546">
        <f t="shared" si="249"/>
        <v>0.17602330059538346</v>
      </c>
      <c r="F431" s="364">
        <v>4</v>
      </c>
      <c r="G431" s="381">
        <f t="shared" si="254"/>
        <v>0.46250000000000002</v>
      </c>
      <c r="H431" s="824">
        <v>1.85</v>
      </c>
      <c r="I431" s="538">
        <f t="shared" si="252"/>
        <v>15499.436473712829</v>
      </c>
      <c r="J431" s="473">
        <f t="shared" si="253"/>
        <v>0.22007055408686513</v>
      </c>
      <c r="K431" s="557">
        <f>(L431/H431)</f>
        <v>0.65190702501578168</v>
      </c>
      <c r="L431" s="379">
        <f>L11*$AZ$9</f>
        <v>1.2060279962791962</v>
      </c>
      <c r="M431" s="538">
        <f>K431*D431</f>
        <v>18692.754313848574</v>
      </c>
      <c r="N431" s="372">
        <f t="shared" si="250"/>
        <v>0.11528790852076433</v>
      </c>
      <c r="T431" s="756"/>
      <c r="U431" s="497" t="s">
        <v>483</v>
      </c>
      <c r="V431" s="1577">
        <f t="shared" ref="V431:V437" si="255">V291</f>
        <v>0</v>
      </c>
      <c r="W431" s="694"/>
      <c r="X431" s="61">
        <f t="shared" ref="X431:AC431" si="256">X428</f>
        <v>0.36391478260869564</v>
      </c>
      <c r="Y431" s="347">
        <f t="shared" si="256"/>
        <v>0.25</v>
      </c>
      <c r="Z431" s="61">
        <f t="shared" si="256"/>
        <v>24.64038403639648</v>
      </c>
      <c r="AA431" s="61">
        <f t="shared" si="256"/>
        <v>0.68697401685057657</v>
      </c>
      <c r="AB431" s="628">
        <f t="shared" si="256"/>
        <v>1.4556591304347826</v>
      </c>
      <c r="AC431" s="61">
        <f t="shared" si="256"/>
        <v>0.97174782709250995</v>
      </c>
      <c r="AD431" s="752">
        <f t="shared" si="251"/>
        <v>0</v>
      </c>
      <c r="AE431" s="725"/>
      <c r="AF431" s="727"/>
      <c r="AG431" s="721"/>
      <c r="AH431" s="721"/>
      <c r="AI431" s="721"/>
      <c r="AJ431" s="721"/>
      <c r="AK431" s="738">
        <f>AD431</f>
        <v>0</v>
      </c>
      <c r="AL431" s="721"/>
      <c r="AM431" s="721"/>
      <c r="AN431" s="721"/>
      <c r="AO431" s="721"/>
      <c r="AP431" s="721"/>
      <c r="AQ431" s="723"/>
      <c r="AR431" s="645">
        <f>V431*T426</f>
        <v>0</v>
      </c>
      <c r="AT431" s="31"/>
      <c r="AU431" s="70"/>
      <c r="AV431" s="70"/>
      <c r="AW431" s="70"/>
      <c r="AX431" s="70"/>
      <c r="AY431" s="70"/>
      <c r="AZ431" s="70"/>
      <c r="BA431" s="70"/>
    </row>
    <row r="432" spans="2:53" ht="15.75" customHeight="1" thickBot="1" x14ac:dyDescent="0.3">
      <c r="C432" s="590" t="str">
        <f t="shared" si="248"/>
        <v>Work</v>
      </c>
      <c r="D432" s="538">
        <f>SUM(D433:D436)</f>
        <v>40884.643433490419</v>
      </c>
      <c r="E432" s="546">
        <f t="shared" si="249"/>
        <v>0.25098209365621676</v>
      </c>
      <c r="F432" s="364">
        <v>4</v>
      </c>
      <c r="G432" s="381">
        <f t="shared" si="254"/>
        <v>0.28999999999999998</v>
      </c>
      <c r="H432" s="827">
        <f>((H433*I433)+(H434*I434)+(H435*I435)+(H436*I436))/(I433+I434+I435+I436)</f>
        <v>1.1599999999999999</v>
      </c>
      <c r="I432" s="538">
        <f t="shared" si="252"/>
        <v>35245.38227025036</v>
      </c>
      <c r="J432" s="473">
        <f t="shared" si="253"/>
        <v>0.50043566541095907</v>
      </c>
      <c r="K432" s="557">
        <f>((K433*D433)+(K434*D434)+(K435*D435)+(K436*D436))/(D433+D434+D435+D436)</f>
        <v>1.5344964518896098</v>
      </c>
      <c r="L432" s="363">
        <f>M432/I432</f>
        <v>1.7800158841919473</v>
      </c>
      <c r="M432" s="538">
        <f>SUM(M433:M436)</f>
        <v>62737.34028546288</v>
      </c>
      <c r="N432" s="365">
        <f t="shared" si="250"/>
        <v>0.38693370844274283</v>
      </c>
      <c r="T432" s="756"/>
      <c r="U432" s="497" t="str">
        <f>U292</f>
        <v>ICE Petrol</v>
      </c>
      <c r="V432" s="1577">
        <f t="shared" si="255"/>
        <v>0</v>
      </c>
      <c r="W432" s="694">
        <f>AB432*73</f>
        <v>111.08695652173914</v>
      </c>
      <c r="X432" s="61">
        <v>0.3576086956521739</v>
      </c>
      <c r="Y432" s="347">
        <v>0.23499999999999999</v>
      </c>
      <c r="Z432" s="61">
        <f>1/((AB432/43800)/0.75*1000)</f>
        <v>21.587142857142855</v>
      </c>
      <c r="AA432" s="61">
        <f>1/AB432</f>
        <v>0.65714285714285714</v>
      </c>
      <c r="AB432" s="628">
        <v>1.5217391304347827</v>
      </c>
      <c r="AC432" s="61">
        <f>AB432/$H$426</f>
        <v>1.0158605558706366</v>
      </c>
      <c r="AD432" s="752">
        <f t="shared" si="251"/>
        <v>0</v>
      </c>
      <c r="AE432" s="726">
        <f>AD432</f>
        <v>0</v>
      </c>
      <c r="AF432" s="727"/>
      <c r="AG432" s="721"/>
      <c r="AH432" s="721"/>
      <c r="AI432" s="721"/>
      <c r="AJ432" s="721"/>
      <c r="AK432" s="721"/>
      <c r="AL432" s="721"/>
      <c r="AM432" s="721"/>
      <c r="AN432" s="721"/>
      <c r="AO432" s="721"/>
      <c r="AP432" s="721"/>
      <c r="AQ432" s="723"/>
      <c r="AR432" s="645">
        <f>V432*T426</f>
        <v>0</v>
      </c>
      <c r="AT432" s="31"/>
      <c r="AU432" s="70"/>
      <c r="AV432" s="70"/>
      <c r="AW432" s="70"/>
      <c r="AX432" s="70"/>
      <c r="AY432" s="70"/>
      <c r="AZ432" s="70"/>
      <c r="BA432" s="70"/>
    </row>
    <row r="433" spans="3:53" ht="15.75" customHeight="1" x14ac:dyDescent="0.25">
      <c r="C433" s="591" t="str">
        <f t="shared" si="248"/>
        <v>&lt; 5km</v>
      </c>
      <c r="D433" s="691">
        <f>((D293*(1+'Growth, Modal Shift, InfraCosts'!K13)^'Growth, Modal Shift, InfraCosts'!$L$4))*(1-'Growth, Modal Shift, InfraCosts'!T10)</f>
        <v>434.25575258067863</v>
      </c>
      <c r="E433" s="546">
        <f t="shared" si="249"/>
        <v>2.6658033142017302E-3</v>
      </c>
      <c r="F433" s="364">
        <v>4</v>
      </c>
      <c r="G433" s="381">
        <f t="shared" si="254"/>
        <v>0.28999999999999998</v>
      </c>
      <c r="H433" s="1593">
        <f>H293</f>
        <v>1.1599999999999999</v>
      </c>
      <c r="I433" s="538">
        <f t="shared" si="252"/>
        <v>374.35840739713677</v>
      </c>
      <c r="J433" s="473">
        <f t="shared" si="253"/>
        <v>5.315371451258267E-3</v>
      </c>
      <c r="K433" s="557">
        <f>(L433/H433)</f>
        <v>2.0793586142744762</v>
      </c>
      <c r="L433" s="1348">
        <f>L13*$AZ$9</f>
        <v>2.4120559925583924</v>
      </c>
      <c r="M433" s="538">
        <f>K433*D433</f>
        <v>902.97343992687968</v>
      </c>
      <c r="N433" s="372">
        <f t="shared" si="250"/>
        <v>5.5691054186619154E-3</v>
      </c>
      <c r="T433" s="756"/>
      <c r="U433" s="497" t="str">
        <f>U293</f>
        <v>ICE Bioethanol</v>
      </c>
      <c r="V433" s="1577">
        <f t="shared" si="255"/>
        <v>0</v>
      </c>
      <c r="W433" s="694"/>
      <c r="X433" s="61">
        <v>0.3576086956521739</v>
      </c>
      <c r="Y433" s="347">
        <f>X433/AB433</f>
        <v>0.23499999999999999</v>
      </c>
      <c r="Z433" s="61">
        <f>1/((AB433/26700)/0.79*1000)</f>
        <v>13.861114285714285</v>
      </c>
      <c r="AA433" s="61">
        <f>1/AB433</f>
        <v>0.65714285714285714</v>
      </c>
      <c r="AB433" s="61">
        <v>1.5217391304347827</v>
      </c>
      <c r="AC433" s="61">
        <f>AB433/$H$426</f>
        <v>1.0158605558706366</v>
      </c>
      <c r="AD433" s="752">
        <f t="shared" si="251"/>
        <v>0</v>
      </c>
      <c r="AE433" s="720"/>
      <c r="AF433" s="721"/>
      <c r="AG433" s="721"/>
      <c r="AH433" s="721"/>
      <c r="AI433" s="721"/>
      <c r="AJ433" s="722">
        <f>AD433</f>
        <v>0</v>
      </c>
      <c r="AK433" s="741"/>
      <c r="AL433" s="721"/>
      <c r="AM433" s="721"/>
      <c r="AN433" s="721"/>
      <c r="AO433" s="721"/>
      <c r="AP433" s="721"/>
      <c r="AQ433" s="723"/>
      <c r="AR433" s="645">
        <f>V433*T426</f>
        <v>0</v>
      </c>
      <c r="AT433" s="31"/>
      <c r="AU433" s="70"/>
      <c r="AV433" s="70"/>
      <c r="AW433" s="70"/>
      <c r="AX433" s="70"/>
      <c r="AY433" s="70"/>
      <c r="AZ433" s="70"/>
      <c r="BA433" s="70"/>
    </row>
    <row r="434" spans="3:53" ht="15.75" customHeight="1" x14ac:dyDescent="0.25">
      <c r="C434" s="591" t="str">
        <f t="shared" si="248"/>
        <v>5-25 km</v>
      </c>
      <c r="D434" s="691">
        <f>((D294*(1+'Growth, Modal Shift, InfraCosts'!K14)^'Growth, Modal Shift, InfraCosts'!$L$4))*(1-'Growth, Modal Shift, InfraCosts'!T10)</f>
        <v>6483.410726427458</v>
      </c>
      <c r="E434" s="546">
        <f t="shared" si="249"/>
        <v>3.9800273684642402E-2</v>
      </c>
      <c r="F434" s="364">
        <v>4</v>
      </c>
      <c r="G434" s="381">
        <f t="shared" si="254"/>
        <v>0.28999999999999998</v>
      </c>
      <c r="H434" s="1594">
        <f>H294</f>
        <v>1.1599999999999999</v>
      </c>
      <c r="I434" s="538">
        <f t="shared" si="252"/>
        <v>5589.1471779547055</v>
      </c>
      <c r="J434" s="473">
        <f t="shared" si="253"/>
        <v>7.9358157208594779E-2</v>
      </c>
      <c r="K434" s="557">
        <f>(L434/H434)</f>
        <v>2.0793586142744762</v>
      </c>
      <c r="L434" s="1350">
        <f>L14*$AZ$9</f>
        <v>2.4120559925583924</v>
      </c>
      <c r="M434" s="538">
        <f>K434*D434</f>
        <v>13481.335943876475</v>
      </c>
      <c r="N434" s="372">
        <f t="shared" si="250"/>
        <v>8.3146389180532063E-2</v>
      </c>
      <c r="T434" s="756"/>
      <c r="U434" s="497" t="str">
        <f>U294</f>
        <v>ICE Bio-methanol</v>
      </c>
      <c r="V434" s="1577">
        <f t="shared" si="255"/>
        <v>0</v>
      </c>
      <c r="W434" s="694"/>
      <c r="X434" s="61">
        <v>0.36391478260869564</v>
      </c>
      <c r="Y434" s="347">
        <f>X434/AB434</f>
        <v>0.25</v>
      </c>
      <c r="Z434" s="61">
        <f>1/((AB434/37600)/0.84*1000)</f>
        <v>21.697387348208608</v>
      </c>
      <c r="AA434" s="61">
        <f>AA428</f>
        <v>0.68697401685057657</v>
      </c>
      <c r="AB434" s="61">
        <v>1.4556591304347826</v>
      </c>
      <c r="AC434" s="61">
        <f t="shared" ref="AC434:AC435" si="257">AB434/$H$426</f>
        <v>0.97174782709250995</v>
      </c>
      <c r="AD434" s="752">
        <f t="shared" ref="AD434:AD443" si="258">V434*AB434*$I$426</f>
        <v>0</v>
      </c>
      <c r="AE434" s="720"/>
      <c r="AF434" s="721"/>
      <c r="AG434" s="721"/>
      <c r="AI434" s="722">
        <f>+AD434</f>
        <v>0</v>
      </c>
      <c r="AJ434" s="721"/>
      <c r="AK434" s="721"/>
      <c r="AL434" s="721"/>
      <c r="AM434" s="721"/>
      <c r="AN434" s="721"/>
      <c r="AO434" s="721"/>
      <c r="AP434" s="721"/>
      <c r="AQ434" s="723"/>
      <c r="AR434" s="645">
        <f>V434*T426</f>
        <v>0</v>
      </c>
      <c r="AT434" s="31"/>
      <c r="AU434" s="70"/>
      <c r="AV434" s="70"/>
      <c r="AW434" s="70"/>
      <c r="AX434" s="70"/>
      <c r="AY434" s="70"/>
      <c r="AZ434" s="70"/>
      <c r="BA434" s="70"/>
    </row>
    <row r="435" spans="3:53" ht="15.75" customHeight="1" x14ac:dyDescent="0.25">
      <c r="C435" s="591" t="str">
        <f t="shared" si="248"/>
        <v>25-50km</v>
      </c>
      <c r="D435" s="691">
        <f>((D295*(1+'Growth, Modal Shift, InfraCosts'!K15)^'Growth, Modal Shift, InfraCosts'!$L$4))*(1-'Growth, Modal Shift, InfraCosts'!T11)</f>
        <v>12540.663016538989</v>
      </c>
      <c r="E435" s="546">
        <f t="shared" si="249"/>
        <v>7.6984451750160068E-2</v>
      </c>
      <c r="F435" s="364">
        <v>4</v>
      </c>
      <c r="G435" s="381">
        <f t="shared" si="254"/>
        <v>0.28999999999999998</v>
      </c>
      <c r="H435" s="1594">
        <f>H295</f>
        <v>1.1599999999999999</v>
      </c>
      <c r="I435" s="538">
        <f t="shared" si="252"/>
        <v>10810.916393568095</v>
      </c>
      <c r="J435" s="473">
        <f t="shared" si="253"/>
        <v>0.15350005562811181</v>
      </c>
      <c r="K435" s="557">
        <f>(L435/H435)</f>
        <v>2.0793586142744762</v>
      </c>
      <c r="L435" s="1350">
        <f>L15*$AZ$9</f>
        <v>2.4120559925583924</v>
      </c>
      <c r="M435" s="538">
        <f>K435*D435</f>
        <v>26076.535672153685</v>
      </c>
      <c r="N435" s="372">
        <f t="shared" si="250"/>
        <v>0.16082751683535851</v>
      </c>
      <c r="O435" s="373"/>
      <c r="P435" s="691"/>
      <c r="Q435" s="436"/>
      <c r="S435" s="374"/>
      <c r="T435" s="525"/>
      <c r="U435" s="497" t="str">
        <f>U295</f>
        <v>ICE hybrid vehicle Bio-methanol</v>
      </c>
      <c r="V435" s="1577">
        <f t="shared" si="255"/>
        <v>0</v>
      </c>
      <c r="W435" s="694"/>
      <c r="X435" s="61">
        <f>X429</f>
        <v>0.36391478260869564</v>
      </c>
      <c r="Y435" s="347">
        <f>X435/AB435</f>
        <v>0.33345793601053042</v>
      </c>
      <c r="Z435" s="61">
        <f>1/((AB435/37600)/0.84*1000)</f>
        <v>28.940664007818558</v>
      </c>
      <c r="AA435" s="61">
        <f>AA289*AA436/AA290</f>
        <v>0.91630775100742656</v>
      </c>
      <c r="AB435" s="61">
        <f>1/AA435</f>
        <v>1.0913363975155277</v>
      </c>
      <c r="AC435" s="61">
        <f t="shared" si="257"/>
        <v>0.72853853676301661</v>
      </c>
      <c r="AD435" s="752">
        <f t="shared" si="258"/>
        <v>0</v>
      </c>
      <c r="AE435" s="720"/>
      <c r="AF435" s="721"/>
      <c r="AG435" s="721"/>
      <c r="AH435" s="721"/>
      <c r="AI435" s="722">
        <f>AD435</f>
        <v>0</v>
      </c>
      <c r="AJ435" s="721"/>
      <c r="AK435" s="721"/>
      <c r="AL435" s="721"/>
      <c r="AM435" s="721"/>
      <c r="AN435" s="721"/>
      <c r="AO435" s="721"/>
      <c r="AP435" s="721"/>
      <c r="AQ435" s="723"/>
      <c r="AR435" s="645">
        <f>V435*T426</f>
        <v>0</v>
      </c>
      <c r="AT435" s="31"/>
      <c r="AU435" s="70"/>
      <c r="AV435" s="70"/>
      <c r="AW435" s="70"/>
      <c r="AX435" s="70"/>
      <c r="AY435" s="70"/>
      <c r="AZ435" s="70"/>
      <c r="BA435" s="70"/>
    </row>
    <row r="436" spans="3:53" ht="15.75" customHeight="1" x14ac:dyDescent="0.25">
      <c r="C436" s="591" t="str">
        <f t="shared" si="248"/>
        <v>&gt;50 km</v>
      </c>
      <c r="D436" s="691">
        <f>(D296*(1+'Growth, Modal Shift, InfraCosts'!$K$16)^'Growth, Modal Shift, InfraCosts'!$L$4)
-(D296*(1+'Growth, Modal Shift, InfraCosts'!$K$16)^'Growth, Modal Shift, InfraCosts'!$L$4)*'Growth, Modal Shift, InfraCosts'!T12
-(D296*(1+'Growth, Modal Shift, InfraCosts'!$K$16)^'Growth, Modal Shift, InfraCosts'!$L$4)*'Growth, Modal Shift, InfraCosts'!T11-(D296*(1+'Growth, Modal Shift, InfraCosts'!$K$16)^'Growth, Modal Shift, InfraCosts'!$L$4)*'Growth, Modal Shift, InfraCosts'!T13</f>
        <v>21426.313937943298</v>
      </c>
      <c r="E436" s="546">
        <f t="shared" si="249"/>
        <v>0.13153156490721257</v>
      </c>
      <c r="F436" s="364">
        <v>4</v>
      </c>
      <c r="G436" s="381">
        <f t="shared" si="254"/>
        <v>0.28999999999999998</v>
      </c>
      <c r="H436" s="1594">
        <f>H296</f>
        <v>1.1599999999999999</v>
      </c>
      <c r="I436" s="538">
        <f t="shared" si="252"/>
        <v>18470.96029133043</v>
      </c>
      <c r="J436" s="473">
        <f t="shared" si="253"/>
        <v>0.26226208112299437</v>
      </c>
      <c r="K436" s="557">
        <f>(L436/H436)</f>
        <v>1.0396793071372381</v>
      </c>
      <c r="L436" s="1350">
        <f>L16*$AZ$9</f>
        <v>1.2060279962791962</v>
      </c>
      <c r="M436" s="538">
        <f>K436*D436</f>
        <v>22276.495229505836</v>
      </c>
      <c r="N436" s="372">
        <f t="shared" si="250"/>
        <v>0.13739069700819032</v>
      </c>
      <c r="O436" s="373"/>
      <c r="P436" s="691"/>
      <c r="Q436" s="436"/>
      <c r="S436" s="374"/>
      <c r="T436" s="525"/>
      <c r="U436" s="497" t="str">
        <f>U296</f>
        <v>ICE Plug-in hybrid vehicle Bio-methanol</v>
      </c>
      <c r="V436" s="1577">
        <f t="shared" si="255"/>
        <v>0</v>
      </c>
      <c r="W436" s="694"/>
      <c r="X436" s="61">
        <f>X430</f>
        <v>0.36391478260869564</v>
      </c>
      <c r="Y436" s="347">
        <f>Y296</f>
        <v>0.72450000000000003</v>
      </c>
      <c r="Z436" s="61">
        <f>1/((AB436/37600)/0.84*1000)</f>
        <v>62.879028535108553</v>
      </c>
      <c r="AA436" s="61">
        <f>1/AB436</f>
        <v>1.990850700832971</v>
      </c>
      <c r="AB436" s="61">
        <f>X436/Y436</f>
        <v>0.50229783658895188</v>
      </c>
      <c r="AC436" s="61">
        <f>AB436/$H$426</f>
        <v>0.33531671052191508</v>
      </c>
      <c r="AD436" s="752">
        <f>V436*AB436*$I$426</f>
        <v>0</v>
      </c>
      <c r="AE436" s="720"/>
      <c r="AF436" s="721"/>
      <c r="AG436" s="721"/>
      <c r="AH436" s="721"/>
      <c r="AI436" s="722">
        <f>AD436*$AW$17</f>
        <v>0</v>
      </c>
      <c r="AJ436" s="721"/>
      <c r="AK436" s="721"/>
      <c r="AL436" s="721"/>
      <c r="AM436" s="721"/>
      <c r="AN436" s="721"/>
      <c r="AO436" s="722">
        <f>AD436*$AX$17</f>
        <v>0</v>
      </c>
      <c r="AP436" s="721"/>
      <c r="AQ436" s="723"/>
      <c r="AR436" s="645">
        <f>V436*T426</f>
        <v>0</v>
      </c>
      <c r="AT436" s="31"/>
      <c r="AU436" s="70"/>
      <c r="AV436" s="70"/>
      <c r="AW436" s="70"/>
      <c r="AX436" s="70"/>
      <c r="AY436" s="70"/>
      <c r="AZ436" s="70"/>
      <c r="BA436" s="70"/>
    </row>
    <row r="437" spans="3:53" ht="15.75" customHeight="1" thickBot="1" x14ac:dyDescent="0.3">
      <c r="C437" s="590" t="str">
        <f t="shared" si="248"/>
        <v>International</v>
      </c>
      <c r="D437" s="538">
        <f>((D297*(1+'Growth, Modal Shift, InfraCosts'!K17)^'Growth, Modal Shift, InfraCosts'!$L$4))*(1-'Growth, Modal Shift, InfraCosts'!T17)</f>
        <v>3983.8685454961219</v>
      </c>
      <c r="E437" s="546">
        <f t="shared" si="249"/>
        <v>2.4456118102786681E-2</v>
      </c>
      <c r="F437" s="364">
        <v>4</v>
      </c>
      <c r="G437" s="381">
        <f t="shared" si="254"/>
        <v>0.625</v>
      </c>
      <c r="H437" s="919">
        <f>H297</f>
        <v>2.5</v>
      </c>
      <c r="I437" s="538">
        <f t="shared" si="252"/>
        <v>1593.5474181984487</v>
      </c>
      <c r="J437" s="473">
        <f t="shared" si="253"/>
        <v>2.2626168627575844E-2</v>
      </c>
      <c r="K437" s="557">
        <f>(L437/H437)</f>
        <v>0.48241119851167846</v>
      </c>
      <c r="L437" s="379">
        <f>L17*$AZ$9</f>
        <v>1.2060279962791962</v>
      </c>
      <c r="M437" s="538">
        <f>K437*D437</f>
        <v>1921.8627997457613</v>
      </c>
      <c r="N437" s="365">
        <f t="shared" si="250"/>
        <v>1.185312442064252E-2</v>
      </c>
      <c r="O437" s="373"/>
      <c r="P437" s="691"/>
      <c r="Q437" s="436"/>
      <c r="S437" s="374"/>
      <c r="T437" s="525"/>
      <c r="U437" s="497" t="s">
        <v>412</v>
      </c>
      <c r="V437" s="1577">
        <f t="shared" si="255"/>
        <v>0</v>
      </c>
      <c r="W437" s="694"/>
      <c r="X437" s="61">
        <f t="shared" ref="X437:AB438" si="259">X428</f>
        <v>0.36391478260869564</v>
      </c>
      <c r="Y437" s="362">
        <f t="shared" si="259"/>
        <v>0.25</v>
      </c>
      <c r="Z437" s="61">
        <f t="shared" si="259"/>
        <v>24.64038403639648</v>
      </c>
      <c r="AA437" s="61">
        <f t="shared" si="259"/>
        <v>0.68697401685057657</v>
      </c>
      <c r="AB437" s="61">
        <f t="shared" si="259"/>
        <v>1.4556591304347826</v>
      </c>
      <c r="AC437" s="61">
        <f>AB437/H426</f>
        <v>0.97174782709250995</v>
      </c>
      <c r="AD437" s="752">
        <f t="shared" si="258"/>
        <v>0</v>
      </c>
      <c r="AE437" s="720"/>
      <c r="AF437" s="727"/>
      <c r="AG437" s="721"/>
      <c r="AH437" s="722">
        <f>AD437</f>
        <v>0</v>
      </c>
      <c r="AI437" s="721"/>
      <c r="AJ437" s="721"/>
      <c r="AK437" s="721"/>
      <c r="AL437" s="721"/>
      <c r="AM437" s="721"/>
      <c r="AN437" s="721"/>
      <c r="AO437" s="721"/>
      <c r="AP437" s="721"/>
      <c r="AQ437" s="723"/>
      <c r="AR437" s="645">
        <f>V437*T426</f>
        <v>0</v>
      </c>
      <c r="AT437" s="31"/>
      <c r="AU437" s="70"/>
      <c r="AV437" s="70"/>
      <c r="AW437" s="70"/>
      <c r="AX437" s="70"/>
      <c r="AY437" s="70"/>
      <c r="AZ437" s="70"/>
      <c r="BA437" s="70"/>
    </row>
    <row r="438" spans="3:53" ht="15.75" customHeight="1" x14ac:dyDescent="0.25">
      <c r="C438" s="591"/>
      <c r="D438" s="691"/>
      <c r="E438" s="546"/>
      <c r="F438" s="364"/>
      <c r="G438" s="381"/>
      <c r="H438" s="827"/>
      <c r="I438" s="538"/>
      <c r="J438" s="473"/>
      <c r="K438" s="557"/>
      <c r="L438" s="363"/>
      <c r="M438" s="538"/>
      <c r="N438" s="372"/>
      <c r="O438" s="373"/>
      <c r="P438" s="691"/>
      <c r="Q438" s="436"/>
      <c r="S438" s="374"/>
      <c r="T438" s="525"/>
      <c r="U438" s="497" t="s">
        <v>413</v>
      </c>
      <c r="V438" s="1577">
        <f>V298</f>
        <v>0</v>
      </c>
      <c r="W438" s="694"/>
      <c r="X438" s="61">
        <f t="shared" si="259"/>
        <v>0.36391478260869564</v>
      </c>
      <c r="Y438" s="362">
        <f t="shared" si="259"/>
        <v>0.33345793601053042</v>
      </c>
      <c r="Z438" s="61">
        <f t="shared" si="259"/>
        <v>32.866126413134374</v>
      </c>
      <c r="AA438" s="61">
        <f t="shared" si="259"/>
        <v>0.91630775100742656</v>
      </c>
      <c r="AB438" s="61">
        <f t="shared" si="259"/>
        <v>1.0913363975155277</v>
      </c>
      <c r="AC438" s="61">
        <f>AB438/H426</f>
        <v>0.72853853676301661</v>
      </c>
      <c r="AD438" s="752">
        <f t="shared" si="258"/>
        <v>0</v>
      </c>
      <c r="AE438" s="720"/>
      <c r="AF438" s="727"/>
      <c r="AG438" s="721"/>
      <c r="AH438" s="722">
        <f>AD438</f>
        <v>0</v>
      </c>
      <c r="AI438" s="721"/>
      <c r="AJ438" s="721"/>
      <c r="AK438" s="721"/>
      <c r="AL438" s="721"/>
      <c r="AM438" s="721"/>
      <c r="AN438" s="721"/>
      <c r="AO438" s="721"/>
      <c r="AP438" s="721"/>
      <c r="AQ438" s="723"/>
      <c r="AR438" s="645">
        <f>V438*T426</f>
        <v>0</v>
      </c>
      <c r="AT438" s="31"/>
      <c r="AU438" s="1526"/>
      <c r="AV438" s="1526"/>
      <c r="AW438" s="1526"/>
      <c r="AX438" s="1526"/>
      <c r="AY438" s="1526"/>
      <c r="AZ438" s="70"/>
      <c r="BA438" s="70"/>
    </row>
    <row r="439" spans="3:53" ht="15.75" customHeight="1" x14ac:dyDescent="0.25">
      <c r="C439" s="591"/>
      <c r="D439" s="691"/>
      <c r="E439" s="546"/>
      <c r="F439" s="364"/>
      <c r="G439" s="381"/>
      <c r="H439" s="827"/>
      <c r="I439" s="538"/>
      <c r="J439" s="473"/>
      <c r="K439" s="557"/>
      <c r="L439" s="363"/>
      <c r="M439" s="538"/>
      <c r="N439" s="372"/>
      <c r="O439" s="373"/>
      <c r="P439" s="691"/>
      <c r="Q439" s="436"/>
      <c r="S439" s="374"/>
      <c r="T439" s="525"/>
      <c r="U439" s="497" t="s">
        <v>414</v>
      </c>
      <c r="V439" s="1577">
        <f>V299</f>
        <v>0</v>
      </c>
      <c r="W439" s="694"/>
      <c r="X439" s="61">
        <f>X428</f>
        <v>0.36391478260869564</v>
      </c>
      <c r="Y439" s="362">
        <f>Y436</f>
        <v>0.72450000000000003</v>
      </c>
      <c r="Z439" s="61">
        <f>Z430</f>
        <v>71.407832937476996</v>
      </c>
      <c r="AA439" s="61">
        <f>AA430</f>
        <v>1.990850700832971</v>
      </c>
      <c r="AB439" s="61">
        <f>AB430</f>
        <v>0.50229783658895188</v>
      </c>
      <c r="AC439" s="61">
        <f>AB439/H426</f>
        <v>0.33531671052191508</v>
      </c>
      <c r="AD439" s="752">
        <f t="shared" si="258"/>
        <v>0</v>
      </c>
      <c r="AE439" s="720"/>
      <c r="AF439" s="727"/>
      <c r="AG439" s="721"/>
      <c r="AH439" s="722">
        <f>AD439*$AW$17</f>
        <v>0</v>
      </c>
      <c r="AI439" s="721"/>
      <c r="AJ439" s="721"/>
      <c r="AK439" s="721"/>
      <c r="AL439" s="721"/>
      <c r="AM439" s="721"/>
      <c r="AN439" s="721"/>
      <c r="AO439" s="722">
        <f>AD439*$AX$17</f>
        <v>0</v>
      </c>
      <c r="AP439" s="721"/>
      <c r="AQ439" s="723"/>
      <c r="AR439" s="645">
        <f>V439*T426</f>
        <v>0</v>
      </c>
      <c r="AT439" s="31"/>
      <c r="AU439" s="894"/>
      <c r="AV439" s="894"/>
      <c r="AW439" s="894"/>
      <c r="AX439" s="894"/>
      <c r="AY439" s="894"/>
      <c r="AZ439" s="1526"/>
      <c r="BA439" s="1526"/>
    </row>
    <row r="440" spans="3:53" ht="15.75" customHeight="1" x14ac:dyDescent="0.25">
      <c r="C440" s="591"/>
      <c r="D440" s="691"/>
      <c r="E440" s="546"/>
      <c r="F440" s="364"/>
      <c r="G440" s="381"/>
      <c r="H440" s="827"/>
      <c r="I440" s="538"/>
      <c r="J440" s="473"/>
      <c r="K440" s="557"/>
      <c r="L440" s="363"/>
      <c r="M440" s="538"/>
      <c r="N440" s="372"/>
      <c r="O440" s="373"/>
      <c r="P440" s="691"/>
      <c r="Q440" s="436"/>
      <c r="S440" s="374"/>
      <c r="T440" s="525"/>
      <c r="U440" s="497" t="str">
        <f t="shared" ref="U440:V442" si="260">U300</f>
        <v>Fuel cell hybrid vehicle Syn-methanol</v>
      </c>
      <c r="V440" s="1577">
        <f t="shared" si="260"/>
        <v>0</v>
      </c>
      <c r="W440" s="694"/>
      <c r="X440" s="61">
        <f>X427</f>
        <v>0.37919999999999998</v>
      </c>
      <c r="Y440" s="347">
        <f>Y300</f>
        <v>0.6</v>
      </c>
      <c r="Z440" s="61"/>
      <c r="AA440" s="61">
        <f>1/AB440</f>
        <v>1.5822784810126582</v>
      </c>
      <c r="AB440" s="61">
        <f>X440/Y440</f>
        <v>0.63200000000000001</v>
      </c>
      <c r="AC440" s="61">
        <f>AB440/$H$426</f>
        <v>0.42190140114673064</v>
      </c>
      <c r="AD440" s="752">
        <f>V440*AB440*$I$426</f>
        <v>0</v>
      </c>
      <c r="AE440" s="720"/>
      <c r="AF440" s="721"/>
      <c r="AG440" s="721"/>
      <c r="AH440" s="722">
        <f>AD440</f>
        <v>0</v>
      </c>
      <c r="AI440" s="721"/>
      <c r="AJ440" s="721"/>
      <c r="AK440" s="721"/>
      <c r="AL440" s="721"/>
      <c r="AM440" s="721"/>
      <c r="AN440" s="721"/>
      <c r="AO440" s="721"/>
      <c r="AP440" s="721"/>
      <c r="AQ440" s="721"/>
      <c r="AR440" s="645">
        <f>V440*T426</f>
        <v>0</v>
      </c>
      <c r="AT440" s="31"/>
      <c r="AU440" s="894"/>
      <c r="AV440" s="894"/>
      <c r="AW440" s="894"/>
      <c r="AX440" s="894"/>
      <c r="AY440" s="894"/>
      <c r="AZ440" s="894"/>
      <c r="BA440" s="894"/>
    </row>
    <row r="441" spans="3:53" ht="15.75" customHeight="1" x14ac:dyDescent="0.25">
      <c r="C441" s="591"/>
      <c r="D441" s="691"/>
      <c r="E441" s="546"/>
      <c r="F441" s="364"/>
      <c r="G441" s="381"/>
      <c r="H441" s="827"/>
      <c r="I441" s="538"/>
      <c r="J441" s="473"/>
      <c r="K441" s="557"/>
      <c r="L441" s="363"/>
      <c r="M441" s="538"/>
      <c r="N441" s="372"/>
      <c r="O441" s="373"/>
      <c r="P441" s="691"/>
      <c r="Q441" s="436"/>
      <c r="S441" s="374"/>
      <c r="T441" s="525"/>
      <c r="U441" s="497" t="str">
        <f t="shared" si="260"/>
        <v>Plug-in fuel cell hybrid vehicle Electricity &amp; Syn-methanol</v>
      </c>
      <c r="V441" s="1577">
        <f t="shared" si="260"/>
        <v>0</v>
      </c>
      <c r="W441" s="694"/>
      <c r="X441" s="61">
        <f>X440</f>
        <v>0.37919999999999998</v>
      </c>
      <c r="Y441" s="347">
        <f>Y301</f>
        <v>0.81861107121816934</v>
      </c>
      <c r="Z441" s="61"/>
      <c r="AA441" s="61">
        <f>1/AB441</f>
        <v>2.15878447051205</v>
      </c>
      <c r="AB441" s="61">
        <f>X441/Y441</f>
        <v>0.46322363981190134</v>
      </c>
      <c r="AC441" s="61">
        <f>AB441/$H$426</f>
        <v>0.30923212449514187</v>
      </c>
      <c r="AD441" s="752">
        <f>V441*AB441*$I$426</f>
        <v>0</v>
      </c>
      <c r="AE441" s="720"/>
      <c r="AF441" s="721"/>
      <c r="AG441" s="721"/>
      <c r="AH441" s="722">
        <f>AD441*$AU$17</f>
        <v>0</v>
      </c>
      <c r="AI441" s="721"/>
      <c r="AJ441" s="721"/>
      <c r="AK441" s="721"/>
      <c r="AL441" s="721"/>
      <c r="AM441" s="721"/>
      <c r="AN441" s="721"/>
      <c r="AO441" s="722">
        <f>AD441*$AV$17</f>
        <v>0</v>
      </c>
      <c r="AP441" s="721"/>
      <c r="AQ441" s="721"/>
      <c r="AR441" s="645">
        <f>V441*T426</f>
        <v>0</v>
      </c>
      <c r="AT441" s="31"/>
      <c r="AU441" s="894"/>
      <c r="AV441" s="894"/>
      <c r="AW441" s="894"/>
      <c r="AX441" s="894"/>
      <c r="AY441" s="894"/>
      <c r="AZ441" s="894"/>
      <c r="BA441" s="894"/>
    </row>
    <row r="442" spans="3:53" ht="15.75" customHeight="1" thickBot="1" x14ac:dyDescent="0.3">
      <c r="C442" s="591"/>
      <c r="D442" s="691"/>
      <c r="E442" s="546"/>
      <c r="F442" s="364"/>
      <c r="G442" s="381"/>
      <c r="H442" s="827"/>
      <c r="I442" s="538"/>
      <c r="J442" s="473"/>
      <c r="K442" s="557"/>
      <c r="L442" s="363"/>
      <c r="M442" s="538"/>
      <c r="N442" s="372"/>
      <c r="O442" s="373"/>
      <c r="P442" s="691"/>
      <c r="Q442" s="436"/>
      <c r="S442" s="374"/>
      <c r="T442" s="525"/>
      <c r="U442" s="497" t="str">
        <f t="shared" si="260"/>
        <v>ICE Biogas</v>
      </c>
      <c r="V442" s="1578">
        <f t="shared" si="260"/>
        <v>0</v>
      </c>
      <c r="W442" s="694"/>
      <c r="X442" s="61">
        <v>0.37808217391304355</v>
      </c>
      <c r="Y442" s="347">
        <f>X442/AB442</f>
        <v>0.23500000000000001</v>
      </c>
      <c r="Z442" s="61"/>
      <c r="AA442" s="61">
        <f>1/AB442</f>
        <v>0.62155800038868925</v>
      </c>
      <c r="AB442" s="61">
        <v>1.6088603145235896</v>
      </c>
      <c r="AC442" s="61">
        <f>AB442/$H$426</f>
        <v>1.0740196533969497</v>
      </c>
      <c r="AD442" s="752">
        <f>V442*AB442*$I$426</f>
        <v>0</v>
      </c>
      <c r="AE442" s="720"/>
      <c r="AF442" s="721"/>
      <c r="AG442" s="721"/>
      <c r="AH442" s="721"/>
      <c r="AI442" s="721"/>
      <c r="AJ442" s="721"/>
      <c r="AK442" s="721"/>
      <c r="AL442" s="722">
        <f>AD442</f>
        <v>0</v>
      </c>
      <c r="AM442" s="721"/>
      <c r="AN442" s="721"/>
      <c r="AO442" s="721"/>
      <c r="AP442" s="721"/>
      <c r="AQ442" s="723"/>
      <c r="AR442" s="645">
        <f>V442*T426</f>
        <v>0</v>
      </c>
      <c r="AT442" s="31"/>
      <c r="AU442" s="70"/>
      <c r="AV442" s="70"/>
      <c r="AW442" s="70"/>
      <c r="AX442" s="70"/>
      <c r="AY442" s="70"/>
      <c r="AZ442" s="894"/>
      <c r="BA442" s="894"/>
    </row>
    <row r="443" spans="3:53" ht="15.75" x14ac:dyDescent="0.25">
      <c r="C443" s="592"/>
      <c r="D443" s="692"/>
      <c r="E443" s="548"/>
      <c r="F443" s="385"/>
      <c r="G443" s="665"/>
      <c r="H443" s="1356"/>
      <c r="I443" s="692"/>
      <c r="J443" s="663"/>
      <c r="K443" s="558"/>
      <c r="L443" s="383"/>
      <c r="M443" s="692"/>
      <c r="N443" s="386"/>
      <c r="O443" s="381"/>
      <c r="P443" s="538"/>
      <c r="Q443" s="473"/>
      <c r="S443" s="661"/>
      <c r="T443" s="525"/>
      <c r="U443" s="497" t="str">
        <f>U303</f>
        <v>No shift in technology</v>
      </c>
      <c r="V443" s="357">
        <f>1-SUM(V427:V442)</f>
        <v>1</v>
      </c>
      <c r="W443" s="694">
        <f>AB443*73.5</f>
        <v>129.62401609643538</v>
      </c>
      <c r="X443" s="61">
        <f>(X432*Q428+X428*Q427+Q429*X433+Q430*X431)</f>
        <v>0.36161883360736874</v>
      </c>
      <c r="Y443" s="347">
        <f>X443/AB443</f>
        <v>0.20504675808198874</v>
      </c>
      <c r="Z443" s="61"/>
      <c r="AA443" s="61"/>
      <c r="AB443" s="61">
        <f>L426</f>
        <v>1.7635920557338147</v>
      </c>
      <c r="AC443" s="411">
        <f>K426</f>
        <v>1.1773132268438915</v>
      </c>
      <c r="AD443" s="752">
        <f t="shared" si="258"/>
        <v>116648.62252831922</v>
      </c>
      <c r="AE443" s="728">
        <f>+AD443*Q428</f>
        <v>39116.316479043126</v>
      </c>
      <c r="AF443" s="729">
        <f>AD443*Q427</f>
        <v>70825.010253897737</v>
      </c>
      <c r="AG443" s="730"/>
      <c r="AH443" s="730"/>
      <c r="AI443" s="893"/>
      <c r="AJ443" s="729">
        <f>AD443*Q429</f>
        <v>3353.6478976891776</v>
      </c>
      <c r="AK443" s="729">
        <f>AD443*Q430</f>
        <v>3353.6478976891776</v>
      </c>
      <c r="AL443" s="730"/>
      <c r="AM443" s="730"/>
      <c r="AN443" s="730"/>
      <c r="AO443" s="730"/>
      <c r="AP443" s="730"/>
      <c r="AQ443" s="731"/>
      <c r="AR443" s="645">
        <f>T426-SUM(V427:V442)*T426</f>
        <v>2726880.0786693594</v>
      </c>
      <c r="AT443" s="31"/>
      <c r="AU443" s="70"/>
      <c r="AV443" s="70"/>
      <c r="AW443" s="70"/>
      <c r="AX443" s="70"/>
      <c r="AY443" s="70"/>
      <c r="AZ443" s="70"/>
      <c r="BA443" s="70"/>
    </row>
    <row r="444" spans="3:53" ht="15.75" customHeight="1" thickBot="1" x14ac:dyDescent="0.3">
      <c r="C444" s="593" t="str">
        <f>C304</f>
        <v>Rail</v>
      </c>
      <c r="D444" s="693">
        <f>D448+D445</f>
        <v>8578.0907083222428</v>
      </c>
      <c r="E444" s="1331">
        <f>E448+E445</f>
        <v>5.2659066699456192E-2</v>
      </c>
      <c r="F444" s="1319">
        <v>210</v>
      </c>
      <c r="G444" s="1339">
        <f>H444/F444</f>
        <v>0.40676554888757233</v>
      </c>
      <c r="H444" s="1337">
        <f>((H445*D445)+(H448*D448))/(D445+D448)</f>
        <v>85.420765266390191</v>
      </c>
      <c r="I444" s="759">
        <f>I445+I448</f>
        <v>96.342153182601862</v>
      </c>
      <c r="J444" s="797">
        <f>J445+J448</f>
        <v>1.367925283527289E-3</v>
      </c>
      <c r="K444" s="1338">
        <f>L444/H444</f>
        <v>0.33641809516861115</v>
      </c>
      <c r="L444" s="1319">
        <f>((L445*I445)+(L448*I448))/(I445+I448)</f>
        <v>28.73709113876405</v>
      </c>
      <c r="M444" s="759">
        <f>M448+M445</f>
        <v>2904.3578387510588</v>
      </c>
      <c r="N444" s="413">
        <f>N448+N445</f>
        <v>1.7912680774787255E-2</v>
      </c>
      <c r="O444" s="682" t="s">
        <v>60</v>
      </c>
      <c r="P444" s="759">
        <f>SUM(P445:P446)</f>
        <v>2904.3578387510588</v>
      </c>
      <c r="Q444" s="801">
        <f>SUM(Q445:Q446)</f>
        <v>1</v>
      </c>
      <c r="R444" s="759">
        <f>SUM(R445:R446)</f>
        <v>8578.0907083222428</v>
      </c>
      <c r="S444" s="797">
        <f>SUM(S445:S446)</f>
        <v>1</v>
      </c>
      <c r="T444" s="680">
        <f>T304*(D444/D304)</f>
        <v>541.56443178106622</v>
      </c>
      <c r="U444" s="498" t="str">
        <f>U304</f>
        <v xml:space="preserve">Sum </v>
      </c>
      <c r="V444" s="396"/>
      <c r="W444" s="761"/>
      <c r="X444" s="395"/>
      <c r="Y444" s="605"/>
      <c r="Z444" s="395"/>
      <c r="AA444" s="395"/>
      <c r="AB444" s="395"/>
      <c r="AC444" s="395"/>
      <c r="AD444" s="753">
        <f>SUM(AD445:AD449)</f>
        <v>2904.3578387510588</v>
      </c>
      <c r="AE444" s="725"/>
      <c r="AF444" s="721"/>
      <c r="AG444" s="721"/>
      <c r="AH444" s="721"/>
      <c r="AI444" s="721"/>
      <c r="AJ444" s="721"/>
      <c r="AK444" s="721"/>
      <c r="AL444" s="721"/>
      <c r="AM444" s="721"/>
      <c r="AN444" s="721"/>
      <c r="AO444" s="721"/>
      <c r="AP444" s="721"/>
      <c r="AQ444" s="723"/>
      <c r="AR444" s="646">
        <f>SUM(AR445:AR449)</f>
        <v>541.56443178106622</v>
      </c>
      <c r="AT444" s="31"/>
      <c r="AU444" s="70"/>
      <c r="AV444" s="70"/>
      <c r="AW444" s="70"/>
      <c r="AX444" s="70"/>
      <c r="AY444" s="70"/>
      <c r="AZ444" s="70"/>
      <c r="BA444" s="70"/>
    </row>
    <row r="445" spans="3:53" ht="15.75" customHeight="1" thickBot="1" x14ac:dyDescent="0.3">
      <c r="C445" s="594" t="str">
        <f>C305</f>
        <v>National rail</v>
      </c>
      <c r="D445" s="694">
        <f>SUM(D446:D447)</f>
        <v>7417.3808673385556</v>
      </c>
      <c r="E445" s="546">
        <f>D445/D476</f>
        <v>4.5533716896874105E-2</v>
      </c>
      <c r="F445" s="507">
        <v>210</v>
      </c>
      <c r="G445" s="1318">
        <f>H445/F445</f>
        <v>0.4</v>
      </c>
      <c r="H445" s="827">
        <f>((H446*D446)+(H447*D447))/(D446+D447)</f>
        <v>84</v>
      </c>
      <c r="I445" s="538">
        <f>SUM(I446:I447)</f>
        <v>88.302153182601856</v>
      </c>
      <c r="J445" s="661">
        <f>I445/I476</f>
        <v>1.253768407058957E-3</v>
      </c>
      <c r="K445" s="363">
        <f>((I446*K446)+(I447*K447))/SUM(I446:I447)</f>
        <v>0.33857142857142858</v>
      </c>
      <c r="L445" s="364">
        <f>((I446*L446)+(I447*L447))/SUM(I446:I447)</f>
        <v>28.44</v>
      </c>
      <c r="M445" s="538">
        <f>SUM(M446:M447)</f>
        <v>2511.3132365131969</v>
      </c>
      <c r="N445" s="397">
        <f>M445/$M$476</f>
        <v>1.5488570909190383E-2</v>
      </c>
      <c r="O445" s="450" t="s">
        <v>3</v>
      </c>
      <c r="P445" s="532">
        <f>M446</f>
        <v>0</v>
      </c>
      <c r="Q445" s="436">
        <f>P445/SUM(P445:P446)</f>
        <v>0</v>
      </c>
      <c r="R445" s="532">
        <f>D446</f>
        <v>0</v>
      </c>
      <c r="S445" s="367">
        <f>D446/SUM(D445+D448)</f>
        <v>0</v>
      </c>
      <c r="T445" s="677">
        <f>S445*T444</f>
        <v>0</v>
      </c>
      <c r="U445" s="497" t="str">
        <f>U305</f>
        <v>Syn-methanol trains</v>
      </c>
      <c r="V445" s="294">
        <f>V305</f>
        <v>0</v>
      </c>
      <c r="W445" s="694"/>
      <c r="X445" s="58"/>
      <c r="Y445" s="58"/>
      <c r="Z445" s="58"/>
      <c r="AA445" s="58"/>
      <c r="AB445" s="58"/>
      <c r="AC445" s="61">
        <f>K446</f>
        <v>0.75857142857142856</v>
      </c>
      <c r="AD445" s="752">
        <f>V445*(D445+D448)*AC445</f>
        <v>0</v>
      </c>
      <c r="AE445" s="725"/>
      <c r="AF445" s="721"/>
      <c r="AG445" s="721"/>
      <c r="AH445" s="722">
        <f>AD445</f>
        <v>0</v>
      </c>
      <c r="AJ445" s="721"/>
      <c r="AK445" s="721"/>
      <c r="AL445" s="721"/>
      <c r="AM445" s="721"/>
      <c r="AN445" s="721"/>
      <c r="AO445" s="721"/>
      <c r="AP445" s="721"/>
      <c r="AQ445" s="723"/>
      <c r="AR445" s="645">
        <f>V445*T444</f>
        <v>0</v>
      </c>
      <c r="AT445" s="31"/>
      <c r="AU445" s="70"/>
      <c r="AV445" s="70"/>
      <c r="AW445" s="70"/>
      <c r="AX445" s="70"/>
      <c r="AY445" s="70"/>
      <c r="AZ445" s="70"/>
      <c r="BA445" s="70"/>
    </row>
    <row r="446" spans="3:53" ht="15.75" customHeight="1" x14ac:dyDescent="0.25">
      <c r="C446" s="591" t="str">
        <f>C306</f>
        <v>National rail (diesel)</v>
      </c>
      <c r="D446" s="691">
        <f>((D306*(1+'Growth, Modal Shift, InfraCosts'!K20)^'Growth, Modal Shift, InfraCosts'!$L$4))</f>
        <v>0</v>
      </c>
      <c r="E446" s="546">
        <f>D446/$D$476</f>
        <v>0</v>
      </c>
      <c r="F446" s="507">
        <v>210</v>
      </c>
      <c r="G446" s="399">
        <f>G306</f>
        <v>0.4</v>
      </c>
      <c r="H446" s="827">
        <f>G446*F446</f>
        <v>84</v>
      </c>
      <c r="I446" s="538">
        <f>D446/H446</f>
        <v>0</v>
      </c>
      <c r="J446" s="473">
        <f>I446/$I$476</f>
        <v>0</v>
      </c>
      <c r="K446" s="557">
        <f>L446/H446</f>
        <v>0.75857142857142856</v>
      </c>
      <c r="L446" s="1326">
        <v>63.72</v>
      </c>
      <c r="M446" s="538">
        <f>D446*K446</f>
        <v>0</v>
      </c>
      <c r="N446" s="372">
        <f>M446/$M$476</f>
        <v>0</v>
      </c>
      <c r="O446" s="58" t="s">
        <v>5</v>
      </c>
      <c r="P446" s="694">
        <f>M447+M448</f>
        <v>2904.3578387510588</v>
      </c>
      <c r="Q446" s="358">
        <f>P446/SUM(P445:P446)</f>
        <v>1</v>
      </c>
      <c r="R446" s="694">
        <f>D447+D448</f>
        <v>8578.0907083222428</v>
      </c>
      <c r="S446" s="63">
        <f>R446/SUM(D445+D448)</f>
        <v>1</v>
      </c>
      <c r="T446" s="677">
        <f>S446*T444</f>
        <v>541.56443178106622</v>
      </c>
      <c r="U446" s="497" t="str">
        <f>U306</f>
        <v>Electric trains</v>
      </c>
      <c r="V446" s="375">
        <f>V306</f>
        <v>0</v>
      </c>
      <c r="W446" s="694"/>
      <c r="X446" s="58"/>
      <c r="Y446" s="58"/>
      <c r="Z446" s="58"/>
      <c r="AA446" s="58"/>
      <c r="AB446" s="58"/>
      <c r="AC446" s="61">
        <f>K447</f>
        <v>0.33857142857142858</v>
      </c>
      <c r="AD446" s="752">
        <f>V446*($D$445+$D$448)*AC446</f>
        <v>0</v>
      </c>
      <c r="AE446" s="725"/>
      <c r="AF446" s="721"/>
      <c r="AG446" s="721"/>
      <c r="AH446" s="721"/>
      <c r="AI446" s="721"/>
      <c r="AJ446" s="721"/>
      <c r="AK446" s="721"/>
      <c r="AL446" s="721"/>
      <c r="AM446" s="721"/>
      <c r="AN446" s="721"/>
      <c r="AO446" s="721"/>
      <c r="AP446" s="722">
        <f>+AD446</f>
        <v>0</v>
      </c>
      <c r="AQ446" s="723"/>
      <c r="AR446" s="645">
        <f>V446*T444</f>
        <v>0</v>
      </c>
      <c r="AT446" s="31"/>
      <c r="AU446" s="70"/>
      <c r="AV446" s="70"/>
      <c r="AW446" s="70"/>
      <c r="AX446" s="70"/>
      <c r="AY446" s="70"/>
      <c r="AZ446" s="70"/>
      <c r="BA446" s="70"/>
    </row>
    <row r="447" spans="3:53" ht="15.75" customHeight="1" x14ac:dyDescent="0.25">
      <c r="C447" s="591" t="str">
        <f>C307</f>
        <v>National rail (electricity)</v>
      </c>
      <c r="D447" s="691">
        <f>(D307*(1+'Growth, Modal Shift, InfraCosts'!$K$21)^'Growth, Modal Shift, InfraCosts'!$L$4)+'Growth, Modal Shift, InfraCosts'!$T$12*((D296*(1+'Growth, Modal Shift, InfraCosts'!$K$16)^'Growth, Modal Shift, InfraCosts'!$L$4))+'Growth, Modal Shift, InfraCosts'!T8*((D291*'Growth, Modal Shift, InfraCosts'!L11))+('Growth, Modal Shift, InfraCosts'!T16*(D327*'Growth, Modal Shift, InfraCosts'!L36))</f>
        <v>7417.3808673385556</v>
      </c>
      <c r="E447" s="546">
        <f>D447/$D$476</f>
        <v>4.5533716896874105E-2</v>
      </c>
      <c r="F447" s="507">
        <v>210</v>
      </c>
      <c r="G447" s="1582">
        <f>G307</f>
        <v>0.4</v>
      </c>
      <c r="H447" s="827">
        <f>G447*F447</f>
        <v>84</v>
      </c>
      <c r="I447" s="538">
        <f>D447/H447</f>
        <v>88.302153182601856</v>
      </c>
      <c r="J447" s="473">
        <f>I447/$I$476</f>
        <v>1.253768407058957E-3</v>
      </c>
      <c r="K447" s="557">
        <f>L447/H447</f>
        <v>0.33857142857142858</v>
      </c>
      <c r="L447" s="1351">
        <v>28.44</v>
      </c>
      <c r="M447" s="538">
        <f>D447*K447</f>
        <v>2511.3132365131969</v>
      </c>
      <c r="N447" s="372">
        <f>M447/$M$476</f>
        <v>1.5488570909190383E-2</v>
      </c>
      <c r="T447" s="756"/>
      <c r="U447" s="497" t="str">
        <f>U307</f>
        <v>Diesel trains</v>
      </c>
      <c r="V447" s="375">
        <f>V307</f>
        <v>0</v>
      </c>
      <c r="W447" s="694"/>
      <c r="X447" s="58"/>
      <c r="Y447" s="58"/>
      <c r="Z447" s="58"/>
      <c r="AA447" s="58"/>
      <c r="AB447" s="58"/>
      <c r="AC447" s="61">
        <f>AC445</f>
        <v>0.75857142857142856</v>
      </c>
      <c r="AD447" s="752">
        <f>V447*($D$445+$D$448)*AC447</f>
        <v>0</v>
      </c>
      <c r="AE447" s="725"/>
      <c r="AF447" s="722">
        <f>AD447</f>
        <v>0</v>
      </c>
      <c r="AG447" s="721"/>
      <c r="AH447" s="721"/>
      <c r="AI447" s="721"/>
      <c r="AJ447" s="721"/>
      <c r="AK447" s="721"/>
      <c r="AL447" s="721"/>
      <c r="AM447" s="721"/>
      <c r="AN447" s="721"/>
      <c r="AO447" s="721"/>
      <c r="AP447" s="721"/>
      <c r="AQ447" s="723"/>
      <c r="AR447" s="645">
        <f>V447*T444</f>
        <v>0</v>
      </c>
      <c r="AT447" s="31"/>
      <c r="AU447" s="70"/>
      <c r="AV447" s="70"/>
      <c r="AW447" s="70"/>
      <c r="AX447" s="70"/>
      <c r="AY447" s="70"/>
      <c r="AZ447" s="70"/>
      <c r="BA447" s="70"/>
    </row>
    <row r="448" spans="3:53" ht="16.5" thickBot="1" x14ac:dyDescent="0.3">
      <c r="C448" s="590" t="str">
        <f>C308</f>
        <v>International rail (electricity)</v>
      </c>
      <c r="D448" s="538">
        <f>((D308*(1+'Growth, Modal Shift, InfraCosts'!K22)^'Growth, Modal Shift, InfraCosts'!$L$4))+('Growth, Modal Shift, InfraCosts'!T15*(D329*'Growth, Modal Shift, InfraCosts'!L38))+('Growth, Modal Shift, InfraCosts'!T17*(D297*'Growth, Modal Shift, InfraCosts'!L17))</f>
        <v>1160.7098409836867</v>
      </c>
      <c r="E448" s="546">
        <f>D448/$D$476</f>
        <v>7.1253498025820898E-3</v>
      </c>
      <c r="F448" s="507">
        <v>210</v>
      </c>
      <c r="G448" s="403">
        <f>G308</f>
        <v>0.45</v>
      </c>
      <c r="H448" s="827">
        <f>G448*F448</f>
        <v>94.5</v>
      </c>
      <c r="I448" s="538">
        <v>8.0399999999999991</v>
      </c>
      <c r="J448" s="473">
        <f>I448/$I$476</f>
        <v>1.1415687646833204E-4</v>
      </c>
      <c r="K448" s="557">
        <f>L448/H448</f>
        <v>0.33862433862433861</v>
      </c>
      <c r="L448" s="402">
        <v>32</v>
      </c>
      <c r="M448" s="538">
        <f>D448*K448</f>
        <v>393.04460223786214</v>
      </c>
      <c r="N448" s="397">
        <f>M448/$M$476</f>
        <v>2.4241098655968739E-3</v>
      </c>
      <c r="T448" s="756"/>
      <c r="U448" s="497" t="s">
        <v>425</v>
      </c>
      <c r="V448" s="295">
        <f>V308</f>
        <v>0</v>
      </c>
      <c r="W448" s="694"/>
      <c r="X448" s="58"/>
      <c r="Y448" s="58"/>
      <c r="Z448" s="58"/>
      <c r="AA448" s="58"/>
      <c r="AB448" s="58"/>
      <c r="AC448" s="61">
        <f>AC447</f>
        <v>0.75857142857142856</v>
      </c>
      <c r="AD448" s="752">
        <f>V448*($D$445+$D$448)*AC448</f>
        <v>0</v>
      </c>
      <c r="AE448" s="725"/>
      <c r="AF448" s="532"/>
      <c r="AG448" s="721"/>
      <c r="AH448" s="721"/>
      <c r="AI448" s="722">
        <f>AD448</f>
        <v>0</v>
      </c>
      <c r="AJ448" s="721"/>
      <c r="AK448" s="721"/>
      <c r="AL448" s="721"/>
      <c r="AM448" s="721"/>
      <c r="AN448" s="721"/>
      <c r="AO448" s="721"/>
      <c r="AP448" s="721"/>
      <c r="AQ448" s="723"/>
      <c r="AR448" s="645">
        <f>V448*T445</f>
        <v>0</v>
      </c>
      <c r="AT448" s="31"/>
      <c r="AU448" s="70"/>
      <c r="AV448" s="70"/>
      <c r="AW448" s="70"/>
      <c r="AX448" s="70"/>
      <c r="AY448" s="70"/>
      <c r="AZ448" s="70"/>
      <c r="BA448" s="70"/>
    </row>
    <row r="449" spans="3:53" ht="15.75" x14ac:dyDescent="0.25">
      <c r="C449" s="590"/>
      <c r="D449" s="538"/>
      <c r="E449" s="548"/>
      <c r="F449" s="507"/>
      <c r="G449" s="1352"/>
      <c r="H449" s="1353"/>
      <c r="I449" s="1354"/>
      <c r="J449" s="1355"/>
      <c r="K449" s="658"/>
      <c r="L449" s="507"/>
      <c r="M449" s="538"/>
      <c r="N449" s="397"/>
      <c r="O449" s="556"/>
      <c r="P449" s="532"/>
      <c r="Q449" s="417"/>
      <c r="R449" s="532"/>
      <c r="S449" s="910"/>
      <c r="T449" s="527"/>
      <c r="U449" s="497" t="str">
        <f t="shared" ref="U449:U456" si="261">U309</f>
        <v>No shift in technology</v>
      </c>
      <c r="V449" s="357">
        <f>1-SUM(V445:V448)</f>
        <v>1</v>
      </c>
      <c r="W449" s="694"/>
      <c r="X449" s="58"/>
      <c r="Y449" s="58"/>
      <c r="Z449" s="58"/>
      <c r="AA449" s="58"/>
      <c r="AB449" s="58"/>
      <c r="AC449" s="61">
        <f>((K445*D445)+(D448*K448))/SUM(D445+D448)</f>
        <v>0.33857858788242068</v>
      </c>
      <c r="AD449" s="752">
        <f>V449*($D$445+$D$448)*AC449</f>
        <v>2904.3578387510588</v>
      </c>
      <c r="AE449" s="732"/>
      <c r="AF449" s="729">
        <f>+AD449*Q445</f>
        <v>0</v>
      </c>
      <c r="AG449" s="730"/>
      <c r="AH449" s="730"/>
      <c r="AI449" s="730"/>
      <c r="AJ449" s="730"/>
      <c r="AK449" s="730"/>
      <c r="AL449" s="730"/>
      <c r="AM449" s="730"/>
      <c r="AN449" s="730"/>
      <c r="AO449" s="730"/>
      <c r="AP449" s="729">
        <f>AD449*Q446</f>
        <v>2904.3578387510588</v>
      </c>
      <c r="AQ449" s="731"/>
      <c r="AR449" s="648">
        <f>T444-SUM(V445:V448)*T444</f>
        <v>541.56443178106622</v>
      </c>
      <c r="AU449" s="70"/>
      <c r="AV449" s="70"/>
      <c r="AW449" s="70"/>
      <c r="AX449" s="70"/>
      <c r="AY449" s="70"/>
      <c r="AZ449" s="70"/>
      <c r="BA449" s="70"/>
    </row>
    <row r="450" spans="3:53" ht="15.75" customHeight="1" thickBot="1" x14ac:dyDescent="0.3">
      <c r="C450" s="593" t="str">
        <f t="shared" ref="C450:C456" si="262">C310</f>
        <v>Bus</v>
      </c>
      <c r="D450" s="693">
        <f>D456+D451</f>
        <v>9813.3649539834823</v>
      </c>
      <c r="E450" s="1331">
        <f>E456+E451</f>
        <v>6.0242151456450822E-2</v>
      </c>
      <c r="F450" s="1319">
        <f>(I451*F451+I456*F456)/(I451+I456)</f>
        <v>49.542996779802095</v>
      </c>
      <c r="G450" s="1320">
        <f>H450/F450</f>
        <v>0.29818619046604472</v>
      </c>
      <c r="H450" s="1321">
        <f>((H451*I451)+(H456*I456))/(I451+I456)</f>
        <v>14.773037474040708</v>
      </c>
      <c r="I450" s="759">
        <f>I451+I456</f>
        <v>664.27537134645468</v>
      </c>
      <c r="J450" s="797">
        <f>J451+J456</f>
        <v>9.4317912323075414E-3</v>
      </c>
      <c r="K450" s="1324">
        <f t="shared" ref="K450:K456" si="263">L450/H450</f>
        <v>0.76263967069411842</v>
      </c>
      <c r="L450" s="1324">
        <f>((L451*I451)+(L456*I456))/(I451+I456)</f>
        <v>11.266504434354276</v>
      </c>
      <c r="M450" s="759">
        <f>M456+M451</f>
        <v>7484.061416907165</v>
      </c>
      <c r="N450" s="413">
        <f>N456+N451</f>
        <v>4.6158087433747066E-2</v>
      </c>
      <c r="O450" s="682" t="s">
        <v>60</v>
      </c>
      <c r="P450" s="759">
        <f>SUM(P451+P452)</f>
        <v>7484.061416907165</v>
      </c>
      <c r="Q450" s="801">
        <f>SUM(Q451+Q452)</f>
        <v>1</v>
      </c>
      <c r="R450" s="759">
        <f>SUM(R451+R452)</f>
        <v>9813.3649539834842</v>
      </c>
      <c r="S450" s="797">
        <f>SUM(S451+S452)</f>
        <v>1</v>
      </c>
      <c r="T450" s="680">
        <f>T310*(D450/D310)</f>
        <v>15637.792647868182</v>
      </c>
      <c r="U450" s="498" t="str">
        <f t="shared" si="261"/>
        <v xml:space="preserve">Sum </v>
      </c>
      <c r="V450" s="396"/>
      <c r="W450" s="762"/>
      <c r="X450" s="625"/>
      <c r="Y450" s="607"/>
      <c r="Z450" s="625"/>
      <c r="AA450" s="625"/>
      <c r="AB450" s="625"/>
      <c r="AC450" s="625"/>
      <c r="AD450" s="753">
        <f>SUM(AD451:AD460)</f>
        <v>7484.061416907165</v>
      </c>
      <c r="AE450" s="720"/>
      <c r="AF450" s="721"/>
      <c r="AG450" s="721"/>
      <c r="AH450" s="892"/>
      <c r="AI450" s="892"/>
      <c r="AJ450" s="721"/>
      <c r="AK450" s="721"/>
      <c r="AL450" s="721"/>
      <c r="AM450" s="721"/>
      <c r="AN450" s="721"/>
      <c r="AO450" s="721"/>
      <c r="AP450" s="721"/>
      <c r="AQ450" s="723"/>
      <c r="AR450" s="906">
        <f>SUM(AR451:AR460)</f>
        <v>15637.792647868182</v>
      </c>
      <c r="AU450" s="70"/>
      <c r="AV450" s="70"/>
      <c r="AW450" s="70"/>
      <c r="AX450" s="70"/>
      <c r="AY450" s="70"/>
      <c r="AZ450" s="70"/>
      <c r="BA450" s="70"/>
    </row>
    <row r="451" spans="3:53" ht="15.75" customHeight="1" thickBot="1" x14ac:dyDescent="0.3">
      <c r="C451" s="590" t="str">
        <f t="shared" si="262"/>
        <v>National bus</v>
      </c>
      <c r="D451" s="538">
        <f>SUM(D452:D455)</f>
        <v>7814.0458231018147</v>
      </c>
      <c r="E451" s="546">
        <f t="shared" ref="E451:E456" si="264">D451/$D$476</f>
        <v>4.7968758338276594E-2</v>
      </c>
      <c r="F451" s="1322">
        <f>((F452*I452)+(F453*I453)+(F454*I454)+(F455*I455))/(I452+I453+I454+I455)</f>
        <v>49.5</v>
      </c>
      <c r="G451" s="1318">
        <f>H451/F451</f>
        <v>0.26000000000000006</v>
      </c>
      <c r="H451" s="1323">
        <f>((H452*I452)+(H453*I453)+(H454*I454)+(H455*I455))/(I452+I453+I454+I455)</f>
        <v>12.870000000000003</v>
      </c>
      <c r="I451" s="538">
        <f t="shared" ref="I451" si="265">D451/H451</f>
        <v>607.15196760697847</v>
      </c>
      <c r="J451" s="661">
        <f>I451/I476</f>
        <v>8.6207179307978346E-3</v>
      </c>
      <c r="K451" s="363">
        <f t="shared" si="263"/>
        <v>0.84132101276781135</v>
      </c>
      <c r="L451" s="363">
        <f>((L452*I452)+(L453*I453)+(L454*I454)+(L455*I455))/(I452+I453+I454+I455)</f>
        <v>10.827801434321735</v>
      </c>
      <c r="M451" s="538">
        <f>SUM(M452:M455)</f>
        <v>6574.120945706105</v>
      </c>
      <c r="N451" s="365">
        <f t="shared" ref="N451:N456" si="266">M451/$M$476</f>
        <v>4.0546012720634843E-2</v>
      </c>
      <c r="O451" s="450" t="s">
        <v>3</v>
      </c>
      <c r="P451" s="532">
        <f>Q451*M450</f>
        <v>7053.7278854350034</v>
      </c>
      <c r="Q451" s="436">
        <f>1-Q452</f>
        <v>0.9425</v>
      </c>
      <c r="R451" s="532">
        <f>S451*D450</f>
        <v>9313.0555685551662</v>
      </c>
      <c r="S451" s="367">
        <f>Q451*Z456/(Q451*Z456+Q452*Z453)</f>
        <v>0.94901755027206758</v>
      </c>
      <c r="T451" s="677">
        <f>S451*T450</f>
        <v>14840.53967034241</v>
      </c>
      <c r="U451" s="497" t="str">
        <f t="shared" si="261"/>
        <v>Battery electric busses</v>
      </c>
      <c r="V451" s="1579">
        <f t="shared" ref="V451:V459" si="267">V311</f>
        <v>0</v>
      </c>
      <c r="W451" s="694"/>
      <c r="X451" s="61">
        <v>2.0499999999999998</v>
      </c>
      <c r="Y451" s="347">
        <v>0.92</v>
      </c>
      <c r="Z451" s="61"/>
      <c r="AA451" s="61">
        <f t="shared" ref="AA451:AA456" si="268">1/AB451</f>
        <v>0.44878048780487806</v>
      </c>
      <c r="AB451" s="61">
        <f t="shared" ref="AB451:AB456" si="269">X451/Y451</f>
        <v>2.2282608695652173</v>
      </c>
      <c r="AC451" s="411">
        <f>AB451/(((H451*I451)+(H456*I456))/SUM(I451+I456))</f>
        <v>0.15083295317437148</v>
      </c>
      <c r="AD451" s="748">
        <f>AB451*V451*$I$450</f>
        <v>0</v>
      </c>
      <c r="AE451" s="720"/>
      <c r="AF451" s="721"/>
      <c r="AG451" s="721"/>
      <c r="AH451" s="892"/>
      <c r="AI451" s="892"/>
      <c r="AJ451" s="721"/>
      <c r="AK451" s="721"/>
      <c r="AL451" s="721"/>
      <c r="AM451" s="721"/>
      <c r="AN451" s="721"/>
      <c r="AO451" s="721"/>
      <c r="AP451" s="722">
        <f>+AD451</f>
        <v>0</v>
      </c>
      <c r="AQ451" s="723"/>
      <c r="AR451" s="645">
        <f>V451*T450</f>
        <v>0</v>
      </c>
      <c r="AU451" s="70"/>
      <c r="AV451" s="70"/>
      <c r="AW451" s="70"/>
      <c r="AX451" s="70"/>
      <c r="AY451" s="70"/>
      <c r="AZ451" s="70"/>
      <c r="BA451" s="70"/>
    </row>
    <row r="452" spans="3:53" ht="15.75" customHeight="1" x14ac:dyDescent="0.25">
      <c r="C452" s="591" t="str">
        <f t="shared" si="262"/>
        <v>&lt; 5km</v>
      </c>
      <c r="D452" s="691">
        <f>((D312*(1+'Growth, Modal Shift, InfraCosts'!K25)^'Growth, Modal Shift, InfraCosts'!$L$4))*(1-'Growth, Modal Shift, InfraCosts'!T14)</f>
        <v>802.10447095826078</v>
      </c>
      <c r="E452" s="546">
        <f t="shared" si="264"/>
        <v>4.9239480290345717E-3</v>
      </c>
      <c r="F452" s="364">
        <f>(45+54)/2</f>
        <v>49.5</v>
      </c>
      <c r="G452" s="1348">
        <v>0.26</v>
      </c>
      <c r="H452" s="827">
        <f>G452*F452</f>
        <v>12.870000000000001</v>
      </c>
      <c r="I452" s="538">
        <f t="shared" ref="I452:I456" si="270">D452/H452</f>
        <v>62.323579717036573</v>
      </c>
      <c r="J452" s="473">
        <f>I452/$I$476</f>
        <v>8.8490860582363052E-4</v>
      </c>
      <c r="K452" s="557">
        <f t="shared" si="263"/>
        <v>0.87552244196145113</v>
      </c>
      <c r="L452" s="1348">
        <f>L32*$AZ$7</f>
        <v>11.267973828043877</v>
      </c>
      <c r="M452" s="538">
        <f>D452*K452</f>
        <v>702.26046512157438</v>
      </c>
      <c r="N452" s="372">
        <f t="shared" si="266"/>
        <v>4.3312044282690044E-3</v>
      </c>
      <c r="O452" s="917" t="s">
        <v>74</v>
      </c>
      <c r="P452" s="912">
        <f>Q452*M450</f>
        <v>430.33353147216201</v>
      </c>
      <c r="Q452" s="913">
        <f>Q312</f>
        <v>5.7500000000000002E-2</v>
      </c>
      <c r="R452" s="912">
        <f>S452*D450</f>
        <v>500.30938542831728</v>
      </c>
      <c r="S452" s="914">
        <f>Q452*Z453/(Q451*Z456+Q452*Z453)</f>
        <v>5.0982449727932477E-2</v>
      </c>
      <c r="T452" s="677">
        <f>S452*T450</f>
        <v>797.25297752577171</v>
      </c>
      <c r="U452" s="497" t="str">
        <f t="shared" si="261"/>
        <v>Fuel cell hybrid busses Syn-methanol</v>
      </c>
      <c r="V452" s="1577">
        <f t="shared" si="267"/>
        <v>0</v>
      </c>
      <c r="W452" s="694"/>
      <c r="X452" s="61">
        <f>X451</f>
        <v>2.0499999999999998</v>
      </c>
      <c r="Y452" s="347">
        <f>Y440</f>
        <v>0.6</v>
      </c>
      <c r="Z452" s="61"/>
      <c r="AA452" s="61">
        <f t="shared" si="268"/>
        <v>0.29268292682926833</v>
      </c>
      <c r="AB452" s="61">
        <f t="shared" si="269"/>
        <v>3.4166666666666665</v>
      </c>
      <c r="AC452" s="411">
        <f t="shared" ref="AC452:AC460" si="271">AB452/((($H$451*$I$451)+($H$456*$I$456))/SUM($I$451+$I$456))</f>
        <v>0.23127719486736961</v>
      </c>
      <c r="AD452" s="748">
        <f t="shared" ref="AD452:AD460" si="272">AB452*V452*$I$450</f>
        <v>0</v>
      </c>
      <c r="AE452" s="720"/>
      <c r="AF452" s="721"/>
      <c r="AG452" s="721"/>
      <c r="AH452" s="722">
        <f>AD452</f>
        <v>0</v>
      </c>
      <c r="AI452" s="721"/>
      <c r="AJ452" s="721"/>
      <c r="AK452" s="721"/>
      <c r="AL452" s="721"/>
      <c r="AM452" s="721"/>
      <c r="AN452" s="721"/>
      <c r="AO452" s="721"/>
      <c r="AP452" s="721"/>
      <c r="AR452" s="645">
        <f>V452*T450</f>
        <v>0</v>
      </c>
      <c r="AU452" s="70"/>
      <c r="AV452" s="70"/>
      <c r="AW452" s="70"/>
      <c r="AX452" s="70"/>
      <c r="AY452" s="70"/>
      <c r="AZ452" s="70"/>
      <c r="BA452" s="70"/>
    </row>
    <row r="453" spans="3:53" ht="15.75" customHeight="1" x14ac:dyDescent="0.25">
      <c r="C453" s="591" t="str">
        <f t="shared" si="262"/>
        <v>5-25 km</v>
      </c>
      <c r="D453" s="691">
        <f>((D313*(1+'Growth, Modal Shift, InfraCosts'!K26)^'Growth, Modal Shift, InfraCosts'!$L$4))*(1-'Growth, Modal Shift, InfraCosts'!T14)+'Scenarios technology'!D291*'Growth, Modal Shift, InfraCosts'!L11*'Growth, Modal Shift, InfraCosts'!T9+D296*'Growth, Modal Shift, InfraCosts'!L16*'Growth, Modal Shift, InfraCosts'!T13</f>
        <v>5254.6786028576525</v>
      </c>
      <c r="E453" s="546">
        <f t="shared" si="264"/>
        <v>3.2257349617862273E-2</v>
      </c>
      <c r="F453" s="364">
        <f>(45+54)/2</f>
        <v>49.5</v>
      </c>
      <c r="G453" s="1350">
        <v>0.26</v>
      </c>
      <c r="H453" s="827">
        <f>G453*F453</f>
        <v>12.870000000000001</v>
      </c>
      <c r="I453" s="538">
        <f t="shared" si="270"/>
        <v>408.28893573097531</v>
      </c>
      <c r="J453" s="473">
        <f>I453/$I$476</f>
        <v>5.7971380099039451E-3</v>
      </c>
      <c r="K453" s="557">
        <f t="shared" si="263"/>
        <v>0.87552244196145113</v>
      </c>
      <c r="L453" s="1350">
        <f>L33*$AZ$7</f>
        <v>11.267973828043877</v>
      </c>
      <c r="M453" s="538">
        <f>D453*K453</f>
        <v>4600.5890420965179</v>
      </c>
      <c r="N453" s="372">
        <f t="shared" si="266"/>
        <v>2.837421814472315E-2</v>
      </c>
      <c r="T453" s="756"/>
      <c r="U453" s="497" t="str">
        <f t="shared" si="261"/>
        <v>ICE Bio-methanol</v>
      </c>
      <c r="V453" s="1577">
        <f t="shared" si="267"/>
        <v>0</v>
      </c>
      <c r="W453" s="694"/>
      <c r="X453" s="61">
        <v>2.0495999999999999</v>
      </c>
      <c r="Y453" s="347">
        <v>0.25</v>
      </c>
      <c r="Z453" s="61">
        <f>1/((AB453/37600)/0.84*1000)</f>
        <v>3.8524590163934427</v>
      </c>
      <c r="AA453" s="61">
        <f t="shared" si="268"/>
        <v>0.12197501951600313</v>
      </c>
      <c r="AB453" s="61">
        <f t="shared" si="269"/>
        <v>8.1983999999999995</v>
      </c>
      <c r="AC453" s="411">
        <f t="shared" si="271"/>
        <v>0.5549569622636028</v>
      </c>
      <c r="AD453" s="748">
        <f t="shared" si="272"/>
        <v>0</v>
      </c>
      <c r="AE453" s="720"/>
      <c r="AF453" s="721"/>
      <c r="AG453" s="721"/>
      <c r="AH453" s="892"/>
      <c r="AI453" s="722">
        <f>+AD453</f>
        <v>0</v>
      </c>
      <c r="AJ453" s="733"/>
      <c r="AK453" s="733"/>
      <c r="AL453" s="733"/>
      <c r="AM453" s="733"/>
      <c r="AN453" s="721"/>
      <c r="AO453" s="721"/>
      <c r="AP453" s="721"/>
      <c r="AQ453" s="723"/>
      <c r="AR453" s="645">
        <f>V453*T450</f>
        <v>0</v>
      </c>
      <c r="AU453" s="70"/>
      <c r="AV453" s="70"/>
      <c r="AW453" s="70"/>
      <c r="AX453" s="70"/>
      <c r="AY453" s="70"/>
      <c r="AZ453" s="70"/>
      <c r="BA453" s="70"/>
    </row>
    <row r="454" spans="3:53" ht="15.75" customHeight="1" x14ac:dyDescent="0.25">
      <c r="C454" s="591" t="str">
        <f t="shared" si="262"/>
        <v>25-50km</v>
      </c>
      <c r="D454" s="691">
        <f>((D314*(1+'Growth, Modal Shift, InfraCosts'!K27)^'Growth, Modal Shift, InfraCosts'!$L$4))*(1-'Growth, Modal Shift, InfraCosts'!T14)</f>
        <v>1146.7666109209194</v>
      </c>
      <c r="E454" s="546">
        <f t="shared" si="264"/>
        <v>7.0397552913036322E-3</v>
      </c>
      <c r="F454" s="364">
        <f>(45+54)/2</f>
        <v>49.5</v>
      </c>
      <c r="G454" s="1350">
        <v>0.26</v>
      </c>
      <c r="H454" s="827">
        <f>G454*F454</f>
        <v>12.870000000000001</v>
      </c>
      <c r="I454" s="538">
        <f t="shared" si="270"/>
        <v>89.103854772410202</v>
      </c>
      <c r="J454" s="473">
        <f>I454/$I$476</f>
        <v>1.265151460460974E-3</v>
      </c>
      <c r="K454" s="557">
        <f t="shared" si="263"/>
        <v>0.87552244196145113</v>
      </c>
      <c r="L454" s="1350">
        <f>L34*$AZ$7</f>
        <v>11.267973828043877</v>
      </c>
      <c r="M454" s="538">
        <f>D454*K454</f>
        <v>1004.0199035533407</v>
      </c>
      <c r="N454" s="372">
        <f t="shared" si="266"/>
        <v>6.1923113550007708E-3</v>
      </c>
      <c r="T454" s="756"/>
      <c r="U454" s="497" t="str">
        <f t="shared" si="261"/>
        <v>ICE Hybrid Bio-methanol</v>
      </c>
      <c r="V454" s="1577">
        <f t="shared" si="267"/>
        <v>0</v>
      </c>
      <c r="W454" s="694"/>
      <c r="X454" s="61">
        <f>X455</f>
        <v>2.0495999999999999</v>
      </c>
      <c r="Y454" s="347">
        <f>Y435</f>
        <v>0.33345793601053042</v>
      </c>
      <c r="Z454" s="61">
        <f>1/((AB454/37600)/0.84*1000)</f>
        <v>5.1385321286868617</v>
      </c>
      <c r="AA454" s="61">
        <f t="shared" si="268"/>
        <v>0.1626941530106023</v>
      </c>
      <c r="AB454" s="61">
        <f t="shared" si="269"/>
        <v>6.1465023880411547</v>
      </c>
      <c r="AC454" s="411">
        <f t="shared" si="271"/>
        <v>0.41606219430782837</v>
      </c>
      <c r="AD454" s="748">
        <f t="shared" si="272"/>
        <v>0</v>
      </c>
      <c r="AE454" s="720"/>
      <c r="AF454" s="721"/>
      <c r="AG454" s="721"/>
      <c r="AH454" s="892"/>
      <c r="AI454" s="722">
        <f>+AD454</f>
        <v>0</v>
      </c>
      <c r="AJ454" s="721"/>
      <c r="AK454" s="721"/>
      <c r="AL454" s="721"/>
      <c r="AM454" s="721"/>
      <c r="AN454" s="721"/>
      <c r="AO454" s="721"/>
      <c r="AP454" s="721"/>
      <c r="AQ454" s="723"/>
      <c r="AR454" s="645">
        <f>V454*T450</f>
        <v>0</v>
      </c>
      <c r="AU454" s="70"/>
      <c r="AV454" s="70"/>
      <c r="AW454" s="70"/>
      <c r="AX454" s="70"/>
      <c r="AY454" s="70"/>
      <c r="AZ454" s="70"/>
      <c r="BA454" s="70"/>
    </row>
    <row r="455" spans="3:53" ht="15.75" customHeight="1" x14ac:dyDescent="0.25">
      <c r="C455" s="591" t="str">
        <f t="shared" si="262"/>
        <v>&gt;50 km</v>
      </c>
      <c r="D455" s="691">
        <f>((D315*(1+'Growth, Modal Shift, InfraCosts'!K28)^'Growth, Modal Shift, InfraCosts'!$L$4))*(1-'Growth, Modal Shift, InfraCosts'!T14)</f>
        <v>610.49613836498168</v>
      </c>
      <c r="E455" s="546">
        <f t="shared" si="264"/>
        <v>3.7477054000761142E-3</v>
      </c>
      <c r="F455" s="364">
        <f>(45+54)/2</f>
        <v>49.5</v>
      </c>
      <c r="G455" s="1350">
        <v>0.26</v>
      </c>
      <c r="H455" s="827">
        <f>G455*F455</f>
        <v>12.870000000000001</v>
      </c>
      <c r="I455" s="538">
        <f t="shared" si="270"/>
        <v>47.435597386556459</v>
      </c>
      <c r="J455" s="473">
        <f>I455/$I$476</f>
        <v>6.7351985460928614E-4</v>
      </c>
      <c r="K455" s="557">
        <f t="shared" si="263"/>
        <v>0.43776122098072556</v>
      </c>
      <c r="L455" s="1350">
        <f>L35*$AZ$7</f>
        <v>5.6339869140219383</v>
      </c>
      <c r="M455" s="538">
        <f>D455*K455</f>
        <v>267.25153493467235</v>
      </c>
      <c r="N455" s="372">
        <f t="shared" si="266"/>
        <v>1.6482787926419195E-3</v>
      </c>
      <c r="O455" s="373"/>
      <c r="P455" s="691"/>
      <c r="Q455" s="436"/>
      <c r="R455" s="691"/>
      <c r="S455" s="374"/>
      <c r="T455" s="525"/>
      <c r="U455" s="497" t="str">
        <f t="shared" si="261"/>
        <v>ICE Hybrid Diesel</v>
      </c>
      <c r="V455" s="1577">
        <f t="shared" si="267"/>
        <v>0</v>
      </c>
      <c r="W455" s="694">
        <f>AB455*74</f>
        <v>454.84117671504544</v>
      </c>
      <c r="X455" s="61">
        <f>X456</f>
        <v>2.0495999999999999</v>
      </c>
      <c r="Y455" s="347">
        <f>Y429</f>
        <v>0.33345793601053042</v>
      </c>
      <c r="Z455" s="61">
        <f>1/((AB455/42700)/0.84*1000)</f>
        <v>5.8355138801842843</v>
      </c>
      <c r="AA455" s="61">
        <f t="shared" si="268"/>
        <v>0.1626941530106023</v>
      </c>
      <c r="AB455" s="61">
        <f t="shared" si="269"/>
        <v>6.1465023880411547</v>
      </c>
      <c r="AC455" s="411">
        <f t="shared" si="271"/>
        <v>0.41606219430782837</v>
      </c>
      <c r="AD455" s="748">
        <f t="shared" si="272"/>
        <v>0</v>
      </c>
      <c r="AE455" s="720"/>
      <c r="AF455" s="722">
        <f>AD455</f>
        <v>0</v>
      </c>
      <c r="AG455" s="721"/>
      <c r="AH455" s="892"/>
      <c r="AI455" s="721"/>
      <c r="AJ455" s="721"/>
      <c r="AK455" s="721"/>
      <c r="AL455" s="721"/>
      <c r="AM455" s="721"/>
      <c r="AN455" s="721"/>
      <c r="AO455" s="721"/>
      <c r="AP455" s="721"/>
      <c r="AQ455" s="723"/>
      <c r="AR455" s="645">
        <f>V455*T450</f>
        <v>0</v>
      </c>
      <c r="AU455" s="70"/>
      <c r="AV455" s="70"/>
      <c r="AW455" s="70"/>
      <c r="AX455" s="70"/>
      <c r="AY455" s="70"/>
      <c r="AZ455" s="70"/>
      <c r="BA455" s="70"/>
    </row>
    <row r="456" spans="3:53" ht="15.75" customHeight="1" thickBot="1" x14ac:dyDescent="0.3">
      <c r="C456" s="590" t="str">
        <f t="shared" si="262"/>
        <v>International bus</v>
      </c>
      <c r="D456" s="538">
        <f>((D316*(1+'Growth, Modal Shift, InfraCosts'!K29)^'Growth, Modal Shift, InfraCosts'!$L$4))</f>
        <v>1999.3191308816672</v>
      </c>
      <c r="E456" s="546">
        <f t="shared" si="264"/>
        <v>1.2273393118174228E-2</v>
      </c>
      <c r="F456" s="364">
        <v>50</v>
      </c>
      <c r="G456" s="379">
        <v>0.7</v>
      </c>
      <c r="H456" s="827">
        <f>G456*F456</f>
        <v>35</v>
      </c>
      <c r="I456" s="538">
        <f t="shared" si="270"/>
        <v>57.123403739476203</v>
      </c>
      <c r="J456" s="473">
        <f>I456/$I$476</f>
        <v>8.1107330150970679E-4</v>
      </c>
      <c r="K456" s="557">
        <f t="shared" si="263"/>
        <v>0.45512517593916663</v>
      </c>
      <c r="L456" s="379">
        <f>L36*$AZ$7</f>
        <v>15.929381157870832</v>
      </c>
      <c r="M456" s="538">
        <f>D456*K456</f>
        <v>909.94047120106052</v>
      </c>
      <c r="N456" s="365">
        <f t="shared" si="266"/>
        <v>5.6120747131122254E-3</v>
      </c>
      <c r="O456" s="373"/>
      <c r="P456" s="691"/>
      <c r="Q456" s="436"/>
      <c r="R456" s="691"/>
      <c r="S456" s="374"/>
      <c r="T456" s="525"/>
      <c r="U456" s="497" t="str">
        <f t="shared" si="261"/>
        <v>ICE Diesel</v>
      </c>
      <c r="V456" s="1577">
        <f t="shared" si="267"/>
        <v>0</v>
      </c>
      <c r="W456" s="694">
        <f>AB456*74</f>
        <v>606.6816</v>
      </c>
      <c r="X456" s="61">
        <v>2.0495999999999999</v>
      </c>
      <c r="Y456" s="347">
        <v>0.25</v>
      </c>
      <c r="Z456" s="61">
        <f>1/((AB456/42700)/0.84*1000)</f>
        <v>4.375</v>
      </c>
      <c r="AA456" s="61">
        <f t="shared" si="268"/>
        <v>0.12197501951600313</v>
      </c>
      <c r="AB456" s="61">
        <f t="shared" si="269"/>
        <v>8.1983999999999995</v>
      </c>
      <c r="AC456" s="411">
        <f t="shared" si="271"/>
        <v>0.5549569622636028</v>
      </c>
      <c r="AD456" s="748">
        <f t="shared" si="272"/>
        <v>0</v>
      </c>
      <c r="AE456" s="720"/>
      <c r="AF456" s="722">
        <f>AD456</f>
        <v>0</v>
      </c>
      <c r="AG456" s="721"/>
      <c r="AH456" s="892"/>
      <c r="AI456" s="733"/>
      <c r="AJ456" s="733"/>
      <c r="AK456" s="733"/>
      <c r="AL456" s="733"/>
      <c r="AM456" s="733"/>
      <c r="AN456" s="721"/>
      <c r="AO456" s="721"/>
      <c r="AP456" s="721"/>
      <c r="AQ456" s="723"/>
      <c r="AR456" s="645">
        <f>V456*T450</f>
        <v>0</v>
      </c>
      <c r="AU456" s="894"/>
      <c r="AV456" s="894"/>
      <c r="AW456" s="894"/>
      <c r="AX456" s="894"/>
      <c r="AY456" s="894"/>
      <c r="AZ456" s="70"/>
      <c r="BA456" s="70"/>
    </row>
    <row r="457" spans="3:53" ht="15.75" customHeight="1" x14ac:dyDescent="0.25">
      <c r="C457" s="590"/>
      <c r="D457" s="538"/>
      <c r="E457" s="546"/>
      <c r="F457" s="364"/>
      <c r="G457" s="363"/>
      <c r="H457" s="827"/>
      <c r="I457" s="538"/>
      <c r="J457" s="473"/>
      <c r="K457" s="557"/>
      <c r="L457" s="363"/>
      <c r="M457" s="538"/>
      <c r="N457" s="365"/>
      <c r="O457" s="373"/>
      <c r="P457" s="691"/>
      <c r="Q457" s="436"/>
      <c r="R457" s="691"/>
      <c r="S457" s="374"/>
      <c r="T457" s="525"/>
      <c r="U457" s="497" t="s">
        <v>483</v>
      </c>
      <c r="V457" s="1577">
        <f t="shared" si="267"/>
        <v>0</v>
      </c>
      <c r="W457" s="694"/>
      <c r="X457" s="61">
        <f t="shared" ref="X457:AC457" si="273">X456</f>
        <v>2.0495999999999999</v>
      </c>
      <c r="Y457" s="362">
        <f t="shared" si="273"/>
        <v>0.25</v>
      </c>
      <c r="Z457" s="61">
        <f t="shared" si="273"/>
        <v>4.375</v>
      </c>
      <c r="AA457" s="61">
        <f t="shared" si="273"/>
        <v>0.12197501951600313</v>
      </c>
      <c r="AB457" s="61">
        <f t="shared" si="273"/>
        <v>8.1983999999999995</v>
      </c>
      <c r="AC457" s="61">
        <f t="shared" si="273"/>
        <v>0.5549569622636028</v>
      </c>
      <c r="AD457" s="748">
        <f>AB457*V457*$I$450</f>
        <v>0</v>
      </c>
      <c r="AE457" s="720"/>
      <c r="AF457" s="721"/>
      <c r="AG457" s="721"/>
      <c r="AH457" s="741"/>
      <c r="AI457" s="733"/>
      <c r="AJ457" s="733"/>
      <c r="AK457" s="738">
        <f>AD457</f>
        <v>0</v>
      </c>
      <c r="AL457" s="733"/>
      <c r="AM457" s="733"/>
      <c r="AN457" s="721"/>
      <c r="AO457" s="721"/>
      <c r="AP457" s="721"/>
      <c r="AQ457" s="723"/>
      <c r="AR457" s="645">
        <f>V457*T450</f>
        <v>0</v>
      </c>
      <c r="AU457" s="1526"/>
      <c r="AV457" s="1526"/>
      <c r="AW457" s="1526"/>
      <c r="AX457" s="1526"/>
      <c r="AY457" s="1526"/>
      <c r="AZ457" s="894"/>
      <c r="BA457" s="894"/>
    </row>
    <row r="458" spans="3:53" ht="15.75" customHeight="1" x14ac:dyDescent="0.25">
      <c r="C458" s="590"/>
      <c r="D458" s="538"/>
      <c r="E458" s="546"/>
      <c r="F458" s="364"/>
      <c r="G458" s="363"/>
      <c r="H458" s="827"/>
      <c r="I458" s="538"/>
      <c r="J458" s="473"/>
      <c r="K458" s="557"/>
      <c r="L458" s="363"/>
      <c r="M458" s="538"/>
      <c r="N458" s="365"/>
      <c r="O458" s="373"/>
      <c r="P458" s="691"/>
      <c r="Q458" s="436"/>
      <c r="R458" s="691"/>
      <c r="S458" s="374"/>
      <c r="T458" s="525"/>
      <c r="U458" s="497" t="str">
        <f>U318</f>
        <v>ICE Syn-methanol</v>
      </c>
      <c r="V458" s="1577">
        <f t="shared" si="267"/>
        <v>0</v>
      </c>
      <c r="W458" s="694"/>
      <c r="X458" s="61">
        <f t="shared" ref="X458:AC458" si="274">X456</f>
        <v>2.0495999999999999</v>
      </c>
      <c r="Y458" s="362">
        <f t="shared" si="274"/>
        <v>0.25</v>
      </c>
      <c r="Z458" s="61">
        <f t="shared" si="274"/>
        <v>4.375</v>
      </c>
      <c r="AA458" s="61">
        <f t="shared" si="274"/>
        <v>0.12197501951600313</v>
      </c>
      <c r="AB458" s="61">
        <f t="shared" si="274"/>
        <v>8.1983999999999995</v>
      </c>
      <c r="AC458" s="61">
        <f t="shared" si="274"/>
        <v>0.5549569622636028</v>
      </c>
      <c r="AD458" s="748">
        <f t="shared" si="272"/>
        <v>0</v>
      </c>
      <c r="AE458" s="720"/>
      <c r="AF458" s="721"/>
      <c r="AG458" s="721"/>
      <c r="AH458" s="722">
        <f>AD458</f>
        <v>0</v>
      </c>
      <c r="AI458" s="733"/>
      <c r="AJ458" s="733"/>
      <c r="AK458" s="733"/>
      <c r="AL458" s="733"/>
      <c r="AM458" s="733"/>
      <c r="AN458" s="721"/>
      <c r="AO458" s="721"/>
      <c r="AP458" s="721"/>
      <c r="AQ458" s="723"/>
      <c r="AR458" s="645">
        <f>V458*T450</f>
        <v>0</v>
      </c>
      <c r="AU458" s="894"/>
      <c r="AV458" s="894"/>
      <c r="AW458" s="894"/>
      <c r="AX458" s="894"/>
      <c r="AY458" s="894"/>
      <c r="AZ458" s="1526"/>
      <c r="BA458" s="1526"/>
    </row>
    <row r="459" spans="3:53" ht="15.75" customHeight="1" thickBot="1" x14ac:dyDescent="0.3">
      <c r="C459" s="590"/>
      <c r="D459" s="538"/>
      <c r="E459" s="547"/>
      <c r="F459" s="55"/>
      <c r="G459" s="363"/>
      <c r="H459" s="821"/>
      <c r="I459" s="694"/>
      <c r="J459" s="358"/>
      <c r="K459" s="557"/>
      <c r="L459" s="363"/>
      <c r="M459" s="538"/>
      <c r="N459" s="365"/>
      <c r="O459" s="373"/>
      <c r="P459" s="691"/>
      <c r="Q459" s="436"/>
      <c r="R459" s="691"/>
      <c r="S459" s="374"/>
      <c r="T459" s="525"/>
      <c r="U459" s="497" t="str">
        <f>U319</f>
        <v>ICE Hybrid Syn-methanol</v>
      </c>
      <c r="V459" s="1578">
        <f t="shared" si="267"/>
        <v>0</v>
      </c>
      <c r="W459" s="694"/>
      <c r="X459" s="61">
        <f t="shared" ref="X459:AC459" si="275">X455</f>
        <v>2.0495999999999999</v>
      </c>
      <c r="Y459" s="362">
        <f t="shared" si="275"/>
        <v>0.33345793601053042</v>
      </c>
      <c r="Z459" s="61">
        <f t="shared" si="275"/>
        <v>5.8355138801842843</v>
      </c>
      <c r="AA459" s="61">
        <f t="shared" si="275"/>
        <v>0.1626941530106023</v>
      </c>
      <c r="AB459" s="61">
        <f t="shared" si="275"/>
        <v>6.1465023880411547</v>
      </c>
      <c r="AC459" s="61">
        <f t="shared" si="275"/>
        <v>0.41606219430782837</v>
      </c>
      <c r="AD459" s="748">
        <f t="shared" si="272"/>
        <v>0</v>
      </c>
      <c r="AE459" s="720"/>
      <c r="AF459" s="721"/>
      <c r="AG459" s="721"/>
      <c r="AH459" s="722">
        <f>AD459</f>
        <v>0</v>
      </c>
      <c r="AI459" s="733"/>
      <c r="AJ459" s="733"/>
      <c r="AK459" s="733"/>
      <c r="AL459" s="733"/>
      <c r="AM459" s="733"/>
      <c r="AN459" s="721"/>
      <c r="AO459" s="721"/>
      <c r="AP459" s="721"/>
      <c r="AQ459" s="723"/>
      <c r="AR459" s="645">
        <f>V459*T450</f>
        <v>0</v>
      </c>
      <c r="AU459" s="70"/>
      <c r="AV459" s="70"/>
      <c r="AW459" s="70"/>
      <c r="AX459" s="70"/>
      <c r="AY459" s="70"/>
      <c r="AZ459" s="894"/>
      <c r="BA459" s="894"/>
    </row>
    <row r="460" spans="3:53" ht="15.75" customHeight="1" x14ac:dyDescent="0.25">
      <c r="C460" s="592"/>
      <c r="D460" s="695"/>
      <c r="E460" s="550"/>
      <c r="F460" s="384"/>
      <c r="G460" s="384"/>
      <c r="H460" s="830"/>
      <c r="I460" s="705"/>
      <c r="J460" s="458"/>
      <c r="K460" s="559"/>
      <c r="L460" s="408"/>
      <c r="M460" s="695"/>
      <c r="N460" s="409"/>
      <c r="O460" s="405"/>
      <c r="P460" s="532"/>
      <c r="Q460" s="417"/>
      <c r="R460" s="532"/>
      <c r="S460" s="910"/>
      <c r="T460" s="527"/>
      <c r="U460" s="1572" t="str">
        <f>U320</f>
        <v>No shift in technology / ICE Diesel</v>
      </c>
      <c r="V460" s="412">
        <f>1-SUM(V451:V459)</f>
        <v>1</v>
      </c>
      <c r="W460" s="705">
        <f>AB460*74</f>
        <v>833.72132814221641</v>
      </c>
      <c r="X460" s="406"/>
      <c r="Y460" s="406"/>
      <c r="Z460" s="406"/>
      <c r="AA460" s="406"/>
      <c r="AB460" s="406">
        <f>((I451*L451)+(I456*L456))/SUM(I451+I456)</f>
        <v>11.266504434354276</v>
      </c>
      <c r="AC460" s="406">
        <f t="shared" si="271"/>
        <v>0.76263967069411842</v>
      </c>
      <c r="AD460" s="747">
        <f t="shared" si="272"/>
        <v>7484.061416907165</v>
      </c>
      <c r="AE460" s="734"/>
      <c r="AF460" s="729">
        <f>+AD460*Q451</f>
        <v>7053.7278854350034</v>
      </c>
      <c r="AG460" s="730"/>
      <c r="AH460" s="730"/>
      <c r="AI460" s="893"/>
      <c r="AJ460" s="735"/>
      <c r="AK460" s="907">
        <f>AD460*Q452</f>
        <v>430.33353147216201</v>
      </c>
      <c r="AL460" s="735"/>
      <c r="AM460" s="735"/>
      <c r="AN460" s="730"/>
      <c r="AO460" s="730"/>
      <c r="AP460" s="730"/>
      <c r="AQ460" s="731"/>
      <c r="AR460" s="648">
        <f>T450-SUM(V451:V459)*T450</f>
        <v>15637.792647868182</v>
      </c>
      <c r="AT460" s="31"/>
      <c r="AU460" s="70"/>
      <c r="AV460" s="70"/>
      <c r="AW460" s="70"/>
      <c r="AX460" s="70"/>
      <c r="AY460" s="70"/>
      <c r="AZ460" s="70"/>
      <c r="BA460" s="70"/>
    </row>
    <row r="461" spans="3:53" ht="15.75" customHeight="1" x14ac:dyDescent="0.25">
      <c r="C461" s="593" t="str">
        <f t="shared" ref="C461:C473" si="276">C321</f>
        <v>Bicycle/walking</v>
      </c>
      <c r="D461" s="759">
        <f>SUM(D462:D465)</f>
        <v>3247.9975610926463</v>
      </c>
      <c r="E461" s="1331">
        <f>D461/D476</f>
        <v>1.993876330117534E-2</v>
      </c>
      <c r="F461" s="1319">
        <v>1</v>
      </c>
      <c r="G461" s="1336">
        <v>1</v>
      </c>
      <c r="H461" s="1361">
        <v>1</v>
      </c>
      <c r="I461" s="759">
        <f>D461/H461</f>
        <v>3247.9975610926463</v>
      </c>
      <c r="J461" s="801">
        <f>I461/$I$476</f>
        <v>4.611707168545983E-2</v>
      </c>
      <c r="K461" s="682">
        <f>K41</f>
        <v>0</v>
      </c>
      <c r="L461" s="1338"/>
      <c r="M461" s="759">
        <v>0</v>
      </c>
      <c r="N461" s="1362">
        <f>M461/$M$476</f>
        <v>0</v>
      </c>
      <c r="O461" s="682" t="s">
        <v>60</v>
      </c>
      <c r="P461" s="759"/>
      <c r="Q461" s="801"/>
      <c r="R461" s="759">
        <f>SUM(R462)</f>
        <v>3247.9975610926463</v>
      </c>
      <c r="S461" s="797">
        <f>SUM(S462)</f>
        <v>1</v>
      </c>
      <c r="T461" s="680"/>
      <c r="U461" s="497"/>
      <c r="W461" s="532"/>
      <c r="X461" s="405"/>
      <c r="Y461" s="405"/>
      <c r="Z461" s="405"/>
      <c r="AA461" s="405"/>
      <c r="AB461" s="405"/>
      <c r="AC461" s="405"/>
      <c r="AD461" s="751"/>
      <c r="AE461" s="736"/>
      <c r="AF461" s="733"/>
      <c r="AG461" s="721"/>
      <c r="AH461" s="733"/>
      <c r="AI461" s="733"/>
      <c r="AJ461" s="733"/>
      <c r="AK461" s="733"/>
      <c r="AL461" s="733"/>
      <c r="AM461" s="733"/>
      <c r="AN461" s="721"/>
      <c r="AO461" s="721"/>
      <c r="AP461" s="721"/>
      <c r="AQ461" s="723"/>
      <c r="AR461" s="649"/>
      <c r="AU461" s="70"/>
      <c r="AV461" s="70"/>
      <c r="AW461" s="70"/>
      <c r="AX461" s="70"/>
      <c r="AY461" s="70"/>
      <c r="AZ461" s="70"/>
      <c r="BA461" s="70"/>
    </row>
    <row r="462" spans="3:53" ht="15.75" customHeight="1" x14ac:dyDescent="0.25">
      <c r="C462" s="591" t="str">
        <f t="shared" si="276"/>
        <v>&lt; 5km</v>
      </c>
      <c r="D462" s="538">
        <f>((D322*(1+'Growth, Modal Shift, InfraCosts'!K31)^'Growth, Modal Shift, InfraCosts'!$L$4))</f>
        <v>1808.6659086072461</v>
      </c>
      <c r="E462" s="546">
        <f>D462/$D$476</f>
        <v>1.1103013707465175E-2</v>
      </c>
      <c r="F462" s="364">
        <v>1</v>
      </c>
      <c r="G462" s="381">
        <v>1</v>
      </c>
      <c r="H462" s="827">
        <v>1</v>
      </c>
      <c r="I462" s="538">
        <f>D462/H462</f>
        <v>1808.6659086072461</v>
      </c>
      <c r="J462" s="473">
        <f>I462/$I$476</f>
        <v>2.5680553569821015E-2</v>
      </c>
      <c r="K462" s="557">
        <f>K42</f>
        <v>0</v>
      </c>
      <c r="L462" s="363"/>
      <c r="M462" s="538">
        <v>0</v>
      </c>
      <c r="N462" s="365">
        <f>M462/$M$476</f>
        <v>0</v>
      </c>
      <c r="O462" s="450" t="s">
        <v>9</v>
      </c>
      <c r="P462" s="532"/>
      <c r="Q462" s="436"/>
      <c r="R462" s="532">
        <f>D461</f>
        <v>3247.9975610926463</v>
      </c>
      <c r="S462" s="367">
        <v>1</v>
      </c>
      <c r="T462" s="525"/>
      <c r="U462" s="497"/>
      <c r="W462" s="691"/>
      <c r="X462" s="373"/>
      <c r="Y462" s="373"/>
      <c r="Z462" s="373"/>
      <c r="AA462" s="373"/>
      <c r="AB462" s="373"/>
      <c r="AC462" s="373"/>
      <c r="AD462" s="754"/>
      <c r="AE462" s="736"/>
      <c r="AF462" s="733"/>
      <c r="AG462" s="733"/>
      <c r="AH462" s="733"/>
      <c r="AI462" s="733"/>
      <c r="AJ462" s="733"/>
      <c r="AK462" s="733"/>
      <c r="AL462" s="733"/>
      <c r="AM462" s="733"/>
      <c r="AN462" s="721"/>
      <c r="AO462" s="721"/>
      <c r="AP462" s="721"/>
      <c r="AQ462" s="723"/>
      <c r="AR462" s="650"/>
      <c r="AU462" s="70"/>
      <c r="AV462" s="70"/>
      <c r="AW462" s="70"/>
      <c r="AX462" s="70"/>
      <c r="AY462" s="70"/>
      <c r="AZ462" s="70"/>
      <c r="BA462" s="70"/>
    </row>
    <row r="463" spans="3:53" ht="15.75" customHeight="1" x14ac:dyDescent="0.25">
      <c r="C463" s="591" t="str">
        <f t="shared" si="276"/>
        <v>5-25 km</v>
      </c>
      <c r="D463" s="538">
        <f>(D323*(1+'Growth, Modal Shift, InfraCosts'!K32)^'Growth, Modal Shift, InfraCosts'!$L$4)
+'Growth, Modal Shift, InfraCosts'!T10*(D293*'Growth, Modal Shift, InfraCosts'!L13+D294*'Growth, Modal Shift, InfraCosts'!L14)
+'Growth, Modal Shift, InfraCosts'!T6*(D288*'Growth, Modal Shift, InfraCosts'!L8+D289*'Growth, Modal Shift, InfraCosts'!L9)
+'Growth, Modal Shift, InfraCosts'!T11*(D295*'Growth, Modal Shift, InfraCosts'!L15+D296*'Growth, Modal Shift, InfraCosts'!L16)
+'Growth, Modal Shift, InfraCosts'!T7*('Growth, Modal Shift, InfraCosts'!L10*D290+D291*'Growth, Modal Shift, InfraCosts'!L11)+'Growth, Modal Shift, InfraCosts'!T14*('Growth, Modal Shift, InfraCosts'!L25*'Scenarios technology'!D312+'Scenarios technology'!D313*'Growth, Modal Shift, InfraCosts'!L26+'Growth, Modal Shift, InfraCosts'!L27*'Scenarios technology'!D314+'Scenarios technology'!D315*'Growth, Modal Shift, InfraCosts'!L28)</f>
        <v>1309.0739245127879</v>
      </c>
      <c r="E463" s="546">
        <f>D463/$D$476</f>
        <v>8.0361252228959533E-3</v>
      </c>
      <c r="F463" s="364">
        <v>1</v>
      </c>
      <c r="G463" s="381">
        <v>1</v>
      </c>
      <c r="H463" s="827">
        <v>1</v>
      </c>
      <c r="I463" s="538">
        <f>D463/H463</f>
        <v>1309.0739245127879</v>
      </c>
      <c r="J463" s="473">
        <f>I463/$I$476</f>
        <v>1.8587038593099625E-2</v>
      </c>
      <c r="K463" s="557">
        <f>K43</f>
        <v>0</v>
      </c>
      <c r="L463" s="363"/>
      <c r="M463" s="538">
        <v>0</v>
      </c>
      <c r="N463" s="365">
        <f>M463/$M$476</f>
        <v>0</v>
      </c>
      <c r="T463" s="525"/>
      <c r="U463" s="497"/>
      <c r="W463" s="691"/>
      <c r="X463" s="373"/>
      <c r="Y463" s="373"/>
      <c r="Z463" s="373"/>
      <c r="AA463" s="373"/>
      <c r="AB463" s="373"/>
      <c r="AC463" s="373"/>
      <c r="AD463" s="754"/>
      <c r="AE463" s="736"/>
      <c r="AF463" s="733"/>
      <c r="AG463" s="733"/>
      <c r="AH463" s="733"/>
      <c r="AI463" s="733"/>
      <c r="AJ463" s="733"/>
      <c r="AK463" s="733"/>
      <c r="AL463" s="733"/>
      <c r="AM463" s="733"/>
      <c r="AN463" s="721"/>
      <c r="AO463" s="721"/>
      <c r="AP463" s="721"/>
      <c r="AQ463" s="723"/>
      <c r="AR463" s="650"/>
      <c r="AU463" s="70"/>
      <c r="AV463" s="70"/>
      <c r="AW463" s="70"/>
      <c r="AX463" s="70"/>
      <c r="AY463" s="70"/>
      <c r="AZ463" s="70"/>
      <c r="BA463" s="70"/>
    </row>
    <row r="464" spans="3:53" ht="15.75" customHeight="1" x14ac:dyDescent="0.25">
      <c r="C464" s="591" t="str">
        <f t="shared" si="276"/>
        <v>25-50km</v>
      </c>
      <c r="D464" s="538">
        <f>((D324*(1+'Growth, Modal Shift, InfraCosts'!K33)^'Growth, Modal Shift, InfraCosts'!$L$4))</f>
        <v>104.92081330462295</v>
      </c>
      <c r="E464" s="546">
        <f>D464/$D$476</f>
        <v>6.4408646327429099E-4</v>
      </c>
      <c r="F464" s="364">
        <v>1</v>
      </c>
      <c r="G464" s="381">
        <v>1</v>
      </c>
      <c r="H464" s="827">
        <v>1</v>
      </c>
      <c r="I464" s="538">
        <f>D464/H464</f>
        <v>104.92081330462295</v>
      </c>
      <c r="J464" s="473">
        <f>I464/$I$476</f>
        <v>1.4897303884792007E-3</v>
      </c>
      <c r="K464" s="557">
        <f>K44</f>
        <v>0</v>
      </c>
      <c r="L464" s="363"/>
      <c r="M464" s="538">
        <v>0</v>
      </c>
      <c r="N464" s="365">
        <f>M464/$M$476</f>
        <v>0</v>
      </c>
      <c r="O464" s="373"/>
      <c r="P464" s="691"/>
      <c r="Q464" s="436"/>
      <c r="R464" s="691"/>
      <c r="S464" s="374"/>
      <c r="T464" s="525"/>
      <c r="U464" s="497"/>
      <c r="W464" s="691"/>
      <c r="X464" s="373"/>
      <c r="Y464" s="373"/>
      <c r="Z464" s="373"/>
      <c r="AA464" s="373"/>
      <c r="AB464" s="373"/>
      <c r="AC464" s="373"/>
      <c r="AD464" s="754"/>
      <c r="AE464" s="736"/>
      <c r="AF464" s="733"/>
      <c r="AG464" s="733"/>
      <c r="AH464" s="733"/>
      <c r="AI464" s="733"/>
      <c r="AJ464" s="733"/>
      <c r="AK464" s="733"/>
      <c r="AL464" s="733"/>
      <c r="AM464" s="733"/>
      <c r="AN464" s="721"/>
      <c r="AO464" s="721"/>
      <c r="AP464" s="721"/>
      <c r="AQ464" s="723"/>
      <c r="AR464" s="650"/>
      <c r="AU464" s="70"/>
      <c r="AV464" s="70"/>
      <c r="AW464" s="70"/>
      <c r="AX464" s="70"/>
      <c r="AY464" s="70"/>
      <c r="AZ464" s="70"/>
      <c r="BA464" s="70"/>
    </row>
    <row r="465" spans="2:53" ht="15.75" customHeight="1" x14ac:dyDescent="0.25">
      <c r="C465" s="591" t="str">
        <f t="shared" si="276"/>
        <v>&gt;50 km</v>
      </c>
      <c r="D465" s="538">
        <f>((D325*(1+'Growth, Modal Shift, InfraCosts'!K34)^'Growth, Modal Shift, InfraCosts'!$L$4))</f>
        <v>25.33691466798944</v>
      </c>
      <c r="E465" s="548">
        <f>D465/$D$476</f>
        <v>1.5553790753992166E-4</v>
      </c>
      <c r="F465" s="364">
        <v>1</v>
      </c>
      <c r="G465" s="665">
        <v>1</v>
      </c>
      <c r="H465" s="1356">
        <v>1</v>
      </c>
      <c r="I465" s="538">
        <f>D465/H465</f>
        <v>25.33691466798944</v>
      </c>
      <c r="J465" s="663">
        <f>I465/$I$476</f>
        <v>3.5974913405999268E-4</v>
      </c>
      <c r="K465" s="557">
        <f>K45</f>
        <v>0</v>
      </c>
      <c r="L465" s="363"/>
      <c r="M465" s="538">
        <v>0</v>
      </c>
      <c r="N465" s="365">
        <f>M465/$M$476</f>
        <v>0</v>
      </c>
      <c r="O465" s="388"/>
      <c r="P465" s="695"/>
      <c r="Q465" s="443"/>
      <c r="R465" s="695"/>
      <c r="S465" s="445"/>
      <c r="T465" s="525"/>
      <c r="U465" s="497"/>
      <c r="W465" s="691"/>
      <c r="X465" s="373"/>
      <c r="Y465" s="373"/>
      <c r="Z465" s="373"/>
      <c r="AA465" s="373"/>
      <c r="AB465" s="373"/>
      <c r="AC465" s="373"/>
      <c r="AD465" s="754"/>
      <c r="AE465" s="737"/>
      <c r="AF465" s="735"/>
      <c r="AG465" s="735"/>
      <c r="AH465" s="735"/>
      <c r="AI465" s="735"/>
      <c r="AJ465" s="735"/>
      <c r="AK465" s="735"/>
      <c r="AL465" s="735"/>
      <c r="AM465" s="735"/>
      <c r="AN465" s="730"/>
      <c r="AO465" s="730"/>
      <c r="AP465" s="730"/>
      <c r="AQ465" s="731"/>
      <c r="AR465" s="650"/>
      <c r="AU465" s="70"/>
      <c r="AV465" s="70"/>
      <c r="AW465" s="70"/>
      <c r="AX465" s="70"/>
      <c r="AY465" s="70"/>
      <c r="AZ465" s="70"/>
      <c r="BA465" s="70"/>
    </row>
    <row r="466" spans="2:53" ht="15.75" customHeight="1" thickBot="1" x14ac:dyDescent="0.3">
      <c r="C466" s="593" t="str">
        <f t="shared" si="276"/>
        <v>Air</v>
      </c>
      <c r="D466" s="759">
        <f>D468+D467</f>
        <v>40968.725192668076</v>
      </c>
      <c r="E466" s="1331">
        <f>E468+E467</f>
        <v>0.25149825361713302</v>
      </c>
      <c r="F466" s="1321">
        <f>((F467*I467)+(F468*I468))/(I467+I468)</f>
        <v>176.78533007620888</v>
      </c>
      <c r="G466" s="1320">
        <f>H466/F466</f>
        <v>0.84023156688112399</v>
      </c>
      <c r="H466" s="1321">
        <f>((H467*I467)+(H468*I468))/(I467+I468)</f>
        <v>148.54061489152969</v>
      </c>
      <c r="I466" s="759">
        <f>I468+I467</f>
        <v>275.80823751527544</v>
      </c>
      <c r="J466" s="795">
        <f>J468+J467</f>
        <v>3.9160953854452353E-3</v>
      </c>
      <c r="K466" s="1324">
        <f t="shared" ref="K466:K473" si="277">L466/H466</f>
        <v>0.78957479187666091</v>
      </c>
      <c r="L466" s="1319">
        <f>((L467*I467)+(L468*I468))/(I467+I468)</f>
        <v>117.28392508821079</v>
      </c>
      <c r="M466" s="759">
        <f>M468+M467</f>
        <v>32347.872667453015</v>
      </c>
      <c r="N466" s="1362">
        <f>N468+N467</f>
        <v>0.19950610393267626</v>
      </c>
      <c r="O466" s="682" t="s">
        <v>60</v>
      </c>
      <c r="P466" s="759">
        <f>SUM(P467:P468)</f>
        <v>32347.872667453015</v>
      </c>
      <c r="Q466" s="801">
        <f>Q467+Q468</f>
        <v>1</v>
      </c>
      <c r="R466" s="759">
        <f>SUM(R467:R468)</f>
        <v>40968.725192668084</v>
      </c>
      <c r="S466" s="797">
        <f>SUM(S467:S468)</f>
        <v>1</v>
      </c>
      <c r="T466" s="680"/>
      <c r="U466" s="499" t="str">
        <f>U326</f>
        <v xml:space="preserve">Sum </v>
      </c>
      <c r="V466" s="418"/>
      <c r="W466" s="762"/>
      <c r="X466" s="625"/>
      <c r="Y466" s="607"/>
      <c r="Z466" s="625"/>
      <c r="AA466" s="625"/>
      <c r="AB466" s="625"/>
      <c r="AC466" s="625"/>
      <c r="AD466" s="753">
        <f>SUM(AD467:AD469)</f>
        <v>32347.872667453015</v>
      </c>
      <c r="AE466" s="736"/>
      <c r="AF466" s="733"/>
      <c r="AG466" s="733"/>
      <c r="AH466" s="733"/>
      <c r="AI466" s="733"/>
      <c r="AJ466" s="733"/>
      <c r="AK466" s="733"/>
      <c r="AL466" s="733"/>
      <c r="AM466" s="733"/>
      <c r="AN466" s="721"/>
      <c r="AO466" s="721"/>
      <c r="AP466" s="721"/>
      <c r="AQ466" s="723"/>
      <c r="AR466" s="651"/>
      <c r="AU466" s="70"/>
      <c r="AV466" s="70"/>
      <c r="AW466" s="70"/>
      <c r="AX466" s="70"/>
      <c r="AY466" s="70"/>
      <c r="AZ466" s="70"/>
      <c r="BA466" s="70"/>
    </row>
    <row r="467" spans="2:53" ht="15.75" customHeight="1" thickBot="1" x14ac:dyDescent="0.3">
      <c r="C467" s="590" t="str">
        <f t="shared" si="276"/>
        <v>National air</v>
      </c>
      <c r="D467" s="538">
        <f>((D327*(1+'Growth, Modal Shift, InfraCosts'!K36)^'Growth, Modal Shift, InfraCosts'!$L$4))*(1-'Growth, Modal Shift, InfraCosts'!T16)</f>
        <v>1143.1141636224065</v>
      </c>
      <c r="E467" s="546">
        <f>D467/D476</f>
        <v>7.0173336974491815E-3</v>
      </c>
      <c r="F467" s="364">
        <v>90</v>
      </c>
      <c r="G467" s="420">
        <v>0.6</v>
      </c>
      <c r="H467" s="827">
        <f>G467*F467</f>
        <v>54</v>
      </c>
      <c r="I467" s="538">
        <f>D467/H467</f>
        <v>21.168780807822344</v>
      </c>
      <c r="J467" s="473">
        <f>I467/$I$476</f>
        <v>3.0056739995818084E-4</v>
      </c>
      <c r="K467" s="557">
        <f t="shared" si="277"/>
        <v>1.7182304362492398</v>
      </c>
      <c r="L467" s="420">
        <f>L47*AZ10</f>
        <v>92.784443557458943</v>
      </c>
      <c r="M467" s="538">
        <f>D467*K467</f>
        <v>1964.1335480436123</v>
      </c>
      <c r="N467" s="365">
        <f>M467/$M$476</f>
        <v>1.2113830043850573E-2</v>
      </c>
      <c r="O467" s="450" t="s">
        <v>4</v>
      </c>
      <c r="P467" s="532">
        <f>Q467*SUM(M467+M468)</f>
        <v>32267.002985784384</v>
      </c>
      <c r="Q467" s="436">
        <v>0.99750000000000005</v>
      </c>
      <c r="R467" s="532">
        <f>S467*SUM(D467:D468)</f>
        <v>40866.303379686411</v>
      </c>
      <c r="S467" s="367">
        <f>Q467</f>
        <v>0.99750000000000005</v>
      </c>
      <c r="T467" s="525"/>
      <c r="U467" s="497" t="str">
        <f>U327</f>
        <v>Gas-turbines Bio-jetfuel</v>
      </c>
      <c r="V467" s="1579">
        <f>V327</f>
        <v>0</v>
      </c>
      <c r="W467" s="532"/>
      <c r="X467" s="611"/>
      <c r="Y467" s="611"/>
      <c r="Z467" s="421"/>
      <c r="AA467" s="421">
        <f>1/AB467</f>
        <v>8.526317645388205E-3</v>
      </c>
      <c r="AB467" s="416">
        <f>AB468</f>
        <v>117.28392508821079</v>
      </c>
      <c r="AC467" s="411">
        <f>AC468</f>
        <v>0.78957479187666102</v>
      </c>
      <c r="AD467" s="748">
        <f>(AC467*V467*D466)</f>
        <v>0</v>
      </c>
      <c r="AE467" s="720"/>
      <c r="AF467" s="733"/>
      <c r="AG467" s="733"/>
      <c r="AH467" s="733"/>
      <c r="AI467" s="733"/>
      <c r="AJ467" s="733"/>
      <c r="AK467" s="733"/>
      <c r="AL467" s="733"/>
      <c r="AM467" s="722">
        <f>AD467</f>
        <v>0</v>
      </c>
      <c r="AN467" s="721"/>
      <c r="AO467" s="721"/>
      <c r="AP467" s="721"/>
      <c r="AQ467" s="723"/>
      <c r="AR467" s="649"/>
      <c r="AU467" s="70"/>
      <c r="AV467" s="70"/>
      <c r="AW467" s="70"/>
      <c r="AX467" s="70"/>
      <c r="AY467" s="70"/>
      <c r="AZ467" s="70"/>
      <c r="BA467" s="70"/>
    </row>
    <row r="468" spans="2:53" ht="15.75" customHeight="1" thickBot="1" x14ac:dyDescent="0.3">
      <c r="C468" s="590" t="str">
        <f t="shared" si="276"/>
        <v>International air</v>
      </c>
      <c r="D468" s="538">
        <f>SUM(D469:D470)</f>
        <v>39825.611029045671</v>
      </c>
      <c r="E468" s="546">
        <f>D468/D476</f>
        <v>0.24448091991968385</v>
      </c>
      <c r="F468" s="364">
        <v>184</v>
      </c>
      <c r="G468" s="381">
        <f>((G469*$D$49)+(G470*$D$50))/($D$49+$D$50)</f>
        <v>0.85</v>
      </c>
      <c r="H468" s="1323">
        <f>((H469*I469)+(H470*I470))/(I469+I470)</f>
        <v>156.4</v>
      </c>
      <c r="I468" s="538">
        <f>D468/H468</f>
        <v>254.63945670745312</v>
      </c>
      <c r="J468" s="661">
        <f>I468/I476</f>
        <v>3.6155279854870543E-3</v>
      </c>
      <c r="K468" s="363">
        <f t="shared" si="277"/>
        <v>0.76291959707159018</v>
      </c>
      <c r="L468" s="364">
        <f>((I469*L469)+(I470*L470))/SUM(I469:I470)</f>
        <v>119.32062498199672</v>
      </c>
      <c r="M468" s="538">
        <f>SUM(M469:M470)</f>
        <v>30383.739119409402</v>
      </c>
      <c r="N468" s="365">
        <f>M468/$M$476</f>
        <v>0.18739227388882568</v>
      </c>
      <c r="O468" s="411" t="s">
        <v>44</v>
      </c>
      <c r="P468" s="532">
        <f>Q468*SUM(M467+M468)</f>
        <v>80.869681668632538</v>
      </c>
      <c r="Q468" s="417">
        <v>2.5000000000000001E-3</v>
      </c>
      <c r="R468" s="532">
        <f>S468*SUM(D467:D468)</f>
        <v>102.4218129816702</v>
      </c>
      <c r="S468" s="910">
        <f>Q468</f>
        <v>2.5000000000000001E-3</v>
      </c>
      <c r="T468" s="525"/>
      <c r="U468" s="497" t="str">
        <f>U328</f>
        <v>Gas-turbines Syn-jetfuel</v>
      </c>
      <c r="V468" s="1578">
        <f>V328</f>
        <v>0</v>
      </c>
      <c r="W468" s="532"/>
      <c r="X468" s="612"/>
      <c r="Y468" s="612"/>
      <c r="Z468" s="421"/>
      <c r="AA468" s="421">
        <f>1/AB468</f>
        <v>8.526317645388205E-3</v>
      </c>
      <c r="AB468" s="416">
        <f>AB469</f>
        <v>117.28392508821079</v>
      </c>
      <c r="AC468" s="411">
        <f>AC469</f>
        <v>0.78957479187666102</v>
      </c>
      <c r="AD468" s="748">
        <f>(AC468*V468*$D$466)</f>
        <v>0</v>
      </c>
      <c r="AE468" s="736"/>
      <c r="AF468" s="733"/>
      <c r="AG468" s="733"/>
      <c r="AH468" s="733"/>
      <c r="AI468" s="733"/>
      <c r="AJ468" s="733"/>
      <c r="AK468" s="733"/>
      <c r="AL468" s="733"/>
      <c r="AM468" s="733"/>
      <c r="AN468" s="721"/>
      <c r="AO468" s="721"/>
      <c r="AP468" s="721"/>
      <c r="AQ468" s="724">
        <f>AD468</f>
        <v>0</v>
      </c>
      <c r="AR468" s="649"/>
      <c r="AU468" s="70"/>
      <c r="AV468" s="70"/>
      <c r="AW468" s="70"/>
      <c r="AX468" s="70"/>
      <c r="AY468" s="70"/>
      <c r="AZ468" s="70"/>
      <c r="BA468" s="70"/>
    </row>
    <row r="469" spans="2:53" ht="15.75" customHeight="1" x14ac:dyDescent="0.25">
      <c r="C469" s="591" t="str">
        <f t="shared" si="276"/>
        <v>International air (1-1000km)</v>
      </c>
      <c r="D469" s="538">
        <f>((D329*(1+'Growth, Modal Shift, InfraCosts'!K38)^'Growth, Modal Shift, InfraCosts'!$L$4))*(1-'Growth, Modal Shift, InfraCosts'!T15)</f>
        <v>9956.4027572614159</v>
      </c>
      <c r="E469" s="546">
        <f>D469/$D$476</f>
        <v>6.1120229979920948E-2</v>
      </c>
      <c r="F469" s="364">
        <v>184</v>
      </c>
      <c r="G469" s="425">
        <v>0.85</v>
      </c>
      <c r="H469" s="827">
        <f>G469*F469</f>
        <v>156.4</v>
      </c>
      <c r="I469" s="538">
        <f>D469/H469</f>
        <v>63.659864176863273</v>
      </c>
      <c r="J469" s="473">
        <f>I469/$I$476</f>
        <v>9.0388199637176346E-4</v>
      </c>
      <c r="K469" s="557">
        <f t="shared" si="277"/>
        <v>0.93899267147092236</v>
      </c>
      <c r="L469" s="1326">
        <f>L49*AZ10</f>
        <v>146.85845381805225</v>
      </c>
      <c r="M469" s="538">
        <f>D469*K469</f>
        <v>9348.9892232813545</v>
      </c>
      <c r="N469" s="365">
        <f>M469/$M$476</f>
        <v>5.7660064228028864E-2</v>
      </c>
      <c r="T469" s="525"/>
      <c r="U469" s="497" t="str">
        <f>U329</f>
        <v>No shift in technology / Jet fossil fuels</v>
      </c>
      <c r="V469" s="887">
        <f>1-SUM(V467:V468)</f>
        <v>1</v>
      </c>
      <c r="W469" s="694">
        <f>AB469*72</f>
        <v>8444.4426063511764</v>
      </c>
      <c r="X469" s="61"/>
      <c r="Y469" s="347"/>
      <c r="Z469" s="61"/>
      <c r="AA469" s="382">
        <f>1/AB469</f>
        <v>8.526317645388205E-3</v>
      </c>
      <c r="AB469" s="55">
        <f>((I467*L467)+(I468*L468))/SUM(I467:I468)</f>
        <v>117.28392508821079</v>
      </c>
      <c r="AC469" s="411">
        <f>((K467*D467)+(K468*D468))/SUM(D467:D468)</f>
        <v>0.78957479187666102</v>
      </c>
      <c r="AD469" s="748">
        <f>(AC469*V469*$D$466)</f>
        <v>32347.872667453015</v>
      </c>
      <c r="AE469" s="720"/>
      <c r="AF469" s="733"/>
      <c r="AG469" s="722">
        <f>+AD469</f>
        <v>32347.872667453015</v>
      </c>
      <c r="AH469" s="733"/>
      <c r="AI469" s="733"/>
      <c r="AJ469" s="721"/>
      <c r="AK469" s="721"/>
      <c r="AL469" s="721"/>
      <c r="AM469" s="721"/>
      <c r="AN469" s="721"/>
      <c r="AO469" s="721"/>
      <c r="AP469" s="721"/>
      <c r="AQ469" s="723"/>
      <c r="AR469" s="647"/>
      <c r="AU469" s="70"/>
      <c r="AV469" s="70"/>
      <c r="AW469" s="70"/>
      <c r="AX469" s="70"/>
      <c r="AY469" s="70"/>
      <c r="AZ469" s="70"/>
      <c r="BA469" s="70"/>
    </row>
    <row r="470" spans="2:53" ht="15.75" customHeight="1" thickBot="1" x14ac:dyDescent="0.3">
      <c r="C470" s="591" t="str">
        <f t="shared" si="276"/>
        <v>International air (&gt;1000km)</v>
      </c>
      <c r="D470" s="538">
        <f>((D330*(1+'Growth, Modal Shift, InfraCosts'!K39)^'Growth, Modal Shift, InfraCosts'!$L$4))</f>
        <v>29869.208271784253</v>
      </c>
      <c r="E470" s="548">
        <f>D470/$D$476</f>
        <v>0.18336068993976287</v>
      </c>
      <c r="F470" s="364">
        <v>184</v>
      </c>
      <c r="G470" s="426">
        <v>0.85</v>
      </c>
      <c r="H470" s="827">
        <f>G470*F470</f>
        <v>156.4</v>
      </c>
      <c r="I470" s="538">
        <f>D470/H470</f>
        <v>190.97959253058985</v>
      </c>
      <c r="J470" s="473">
        <f>I470/$I$476</f>
        <v>2.7116459891152909E-3</v>
      </c>
      <c r="K470" s="557">
        <f t="shared" si="277"/>
        <v>0.7042285722718129</v>
      </c>
      <c r="L470" s="402">
        <f>L50*AZ10</f>
        <v>110.14134870331154</v>
      </c>
      <c r="M470" s="538">
        <f>D470*K470</f>
        <v>21034.749896128047</v>
      </c>
      <c r="N470" s="365">
        <f>M470/$M$476</f>
        <v>0.12973220966079682</v>
      </c>
      <c r="T470" s="527"/>
      <c r="U470" s="497"/>
      <c r="V470" s="412"/>
      <c r="W470" s="705"/>
      <c r="X470" s="406"/>
      <c r="Y470" s="406"/>
      <c r="Z470" s="406"/>
      <c r="AA470" s="406"/>
      <c r="AB470" s="406"/>
      <c r="AC470" s="406"/>
      <c r="AD470" s="747"/>
      <c r="AE470" s="734"/>
      <c r="AF470" s="735"/>
      <c r="AG470" s="735"/>
      <c r="AH470" s="735"/>
      <c r="AI470" s="735"/>
      <c r="AJ470" s="730"/>
      <c r="AK470" s="730"/>
      <c r="AL470" s="730"/>
      <c r="AM470" s="730"/>
      <c r="AN470" s="730"/>
      <c r="AO470" s="730"/>
      <c r="AP470" s="730"/>
      <c r="AQ470" s="731"/>
      <c r="AR470" s="652"/>
      <c r="AU470" s="70"/>
      <c r="AV470" s="70"/>
      <c r="AW470" s="70"/>
      <c r="AX470" s="70"/>
      <c r="AY470" s="70"/>
      <c r="AZ470" s="70"/>
      <c r="BA470" s="70"/>
    </row>
    <row r="471" spans="2:53" ht="15.75" customHeight="1" thickBot="1" x14ac:dyDescent="0.3">
      <c r="C471" s="593" t="str">
        <f t="shared" si="276"/>
        <v>Sea</v>
      </c>
      <c r="D471" s="759">
        <f>D473+D472</f>
        <v>1210.1048569470477</v>
      </c>
      <c r="E471" s="1331">
        <f>E472+E473</f>
        <v>7.4285752555038938E-3</v>
      </c>
      <c r="F471" s="1319">
        <f>((F472*I472)+(F473*I473))/(I472+I473)</f>
        <v>1214.1832245046662</v>
      </c>
      <c r="G471" s="1320">
        <f>H471/F471</f>
        <v>0.42579265886067624</v>
      </c>
      <c r="H471" s="1321">
        <f>((H472*I472)+(H473*I473))/(I472+I473)</f>
        <v>516.99030350587122</v>
      </c>
      <c r="I471" s="759">
        <f>I473+I472</f>
        <v>2.3406722500227808</v>
      </c>
      <c r="J471" s="801">
        <f>J473+J472</f>
        <v>3.3234307574465599E-5</v>
      </c>
      <c r="K471" s="682">
        <f t="shared" si="277"/>
        <v>2.2765381278612269</v>
      </c>
      <c r="L471" s="1319">
        <f>((L472*I472)+(L473*I473))/(I472+I473)</f>
        <v>1176.9481376656636</v>
      </c>
      <c r="M471" s="759">
        <f>M473+M472</f>
        <v>2754.8498455500103</v>
      </c>
      <c r="N471" s="1362">
        <f>N473+N472</f>
        <v>1.6990587457029589E-2</v>
      </c>
      <c r="O471" s="682" t="s">
        <v>60</v>
      </c>
      <c r="P471" s="759">
        <f>SUM(P472)</f>
        <v>2754.8498455500103</v>
      </c>
      <c r="Q471" s="801">
        <f>SUM(Q472)</f>
        <v>1</v>
      </c>
      <c r="R471" s="759">
        <f>SUM(R472)</f>
        <v>1210.1048569470477</v>
      </c>
      <c r="S471" s="797">
        <f>SUM(S472)</f>
        <v>1</v>
      </c>
      <c r="T471" s="680"/>
      <c r="U471" s="498" t="str">
        <f>U331</f>
        <v xml:space="preserve">Sum </v>
      </c>
      <c r="V471" s="396"/>
      <c r="W471" s="761"/>
      <c r="X471" s="395"/>
      <c r="Y471" s="605"/>
      <c r="Z471" s="395"/>
      <c r="AA471" s="395"/>
      <c r="AB471" s="394"/>
      <c r="AC471" s="394"/>
      <c r="AD471" s="1573">
        <f>SUM(AD472:AD475)</f>
        <v>2754.8498455500103</v>
      </c>
      <c r="AE471" s="725"/>
      <c r="AF471" s="733"/>
      <c r="AG471" s="733"/>
      <c r="AH471" s="733"/>
      <c r="AI471" s="733"/>
      <c r="AJ471" s="733"/>
      <c r="AK471" s="733"/>
      <c r="AL471" s="733"/>
      <c r="AM471" s="733"/>
      <c r="AN471" s="721"/>
      <c r="AO471" s="721"/>
      <c r="AP471" s="721"/>
      <c r="AQ471" s="723"/>
      <c r="AR471" s="653"/>
      <c r="AU471" s="70"/>
      <c r="AV471" s="70"/>
      <c r="AW471" s="70"/>
      <c r="AX471" s="70"/>
      <c r="AY471" s="70"/>
      <c r="AZ471" s="70"/>
      <c r="BA471" s="70"/>
    </row>
    <row r="472" spans="2:53" ht="15.75" customHeight="1" x14ac:dyDescent="0.25">
      <c r="C472" s="590" t="str">
        <f t="shared" si="276"/>
        <v>National sea</v>
      </c>
      <c r="D472" s="538">
        <f>((D332*(1+'Growth, Modal Shift, InfraCosts'!K41)^'Growth, Modal Shift, InfraCosts'!L4))</f>
        <v>240.7908442503047</v>
      </c>
      <c r="E472" s="546">
        <f>D472/D476</f>
        <v>1.4781635633315847E-3</v>
      </c>
      <c r="F472" s="364">
        <v>570</v>
      </c>
      <c r="G472" s="425">
        <v>0.35</v>
      </c>
      <c r="H472" s="827">
        <f>G472*F472</f>
        <v>199.5</v>
      </c>
      <c r="I472" s="538">
        <f>D472/H472</f>
        <v>1.2069716503774672</v>
      </c>
      <c r="J472" s="473">
        <f>I472/$I$476</f>
        <v>1.7137327561308382E-5</v>
      </c>
      <c r="K472" s="557">
        <f t="shared" si="277"/>
        <v>3.3406961323934783</v>
      </c>
      <c r="L472" s="1326">
        <f>L52*AZ8</f>
        <v>666.46887841249895</v>
      </c>
      <c r="M472" s="538">
        <f>K472*D472</f>
        <v>804.40904210275335</v>
      </c>
      <c r="N472" s="365">
        <f>M472/$M$476</f>
        <v>4.9612076691401353E-3</v>
      </c>
      <c r="O472" s="450" t="s">
        <v>3</v>
      </c>
      <c r="P472" s="532">
        <f>SUM(M472:M475)</f>
        <v>2754.8498455500103</v>
      </c>
      <c r="Q472" s="436">
        <f>P472/P472</f>
        <v>1</v>
      </c>
      <c r="R472" s="532">
        <f>SUM(D472:D475)</f>
        <v>1210.1048569470477</v>
      </c>
      <c r="S472" s="367">
        <v>1</v>
      </c>
      <c r="T472" s="525"/>
      <c r="U472" s="497" t="str">
        <f>U332</f>
        <v>Bio-methanol</v>
      </c>
      <c r="V472" s="1579">
        <f>V332</f>
        <v>0</v>
      </c>
      <c r="W472" s="532"/>
      <c r="X472" s="611"/>
      <c r="Y472" s="611"/>
      <c r="Z472" s="421"/>
      <c r="AA472" s="421"/>
      <c r="AB472" s="416">
        <f t="shared" ref="AB472:AC474" si="278">AB473</f>
        <v>1176.9481376656636</v>
      </c>
      <c r="AC472" s="411">
        <f t="shared" si="278"/>
        <v>2.2765381278612273</v>
      </c>
      <c r="AD472" s="532">
        <f>(V472*AC472*D471)</f>
        <v>0</v>
      </c>
      <c r="AE472" s="720"/>
      <c r="AF472" s="733"/>
      <c r="AG472" s="733"/>
      <c r="AI472" s="738">
        <f>AD472</f>
        <v>0</v>
      </c>
      <c r="AJ472" s="733"/>
      <c r="AK472" s="733"/>
      <c r="AL472" s="733"/>
      <c r="AM472" s="733"/>
      <c r="AN472" s="721"/>
      <c r="AO472" s="721"/>
      <c r="AP472" s="721"/>
      <c r="AQ472" s="723"/>
      <c r="AR472" s="649"/>
      <c r="AU472" s="70"/>
      <c r="AV472" s="70"/>
      <c r="AW472" s="70"/>
      <c r="AX472" s="70"/>
      <c r="AY472" s="70"/>
      <c r="AZ472" s="70"/>
      <c r="BA472" s="70"/>
    </row>
    <row r="473" spans="2:53" ht="15.75" customHeight="1" thickBot="1" x14ac:dyDescent="0.3">
      <c r="C473" s="590" t="str">
        <f t="shared" si="276"/>
        <v>International sea</v>
      </c>
      <c r="D473" s="538">
        <f>((D333*(1+'Growth, Modal Shift, InfraCosts'!K42)^'Growth, Modal Shift, InfraCosts'!L4))</f>
        <v>969.31401269674302</v>
      </c>
      <c r="E473" s="546">
        <f>D473/D476</f>
        <v>5.9504116921723091E-3</v>
      </c>
      <c r="F473" s="364">
        <v>1900</v>
      </c>
      <c r="G473" s="426">
        <v>0.45</v>
      </c>
      <c r="H473" s="827">
        <f>G473*F473</f>
        <v>855</v>
      </c>
      <c r="I473" s="538">
        <f>D473/H473</f>
        <v>1.1337005996453136</v>
      </c>
      <c r="J473" s="473">
        <f>I473/$I$476</f>
        <v>1.6096980013157217E-5</v>
      </c>
      <c r="K473" s="557">
        <f t="shared" si="277"/>
        <v>2.0121867402090952</v>
      </c>
      <c r="L473" s="402">
        <f>L53*AZ8</f>
        <v>1720.4196628787763</v>
      </c>
      <c r="M473" s="538">
        <f>K473*D473</f>
        <v>1950.4408034472567</v>
      </c>
      <c r="N473" s="365">
        <f>M473/$M$476</f>
        <v>1.2029379787889453E-2</v>
      </c>
      <c r="T473" s="525"/>
      <c r="U473" s="497" t="str">
        <f>U333</f>
        <v>Gas-turbine biogas</v>
      </c>
      <c r="V473" s="1577">
        <f>V333</f>
        <v>0</v>
      </c>
      <c r="W473" s="532"/>
      <c r="X473" s="612"/>
      <c r="Y473" s="612"/>
      <c r="Z473" s="421"/>
      <c r="AA473" s="421"/>
      <c r="AB473" s="416">
        <f t="shared" si="278"/>
        <v>1176.9481376656636</v>
      </c>
      <c r="AC473" s="411">
        <f t="shared" si="278"/>
        <v>2.2765381278612273</v>
      </c>
      <c r="AD473" s="532">
        <f>(V473*AC473*D471)</f>
        <v>0</v>
      </c>
      <c r="AE473" s="720"/>
      <c r="AF473" s="733"/>
      <c r="AG473" s="733"/>
      <c r="AH473" s="721"/>
      <c r="AI473" s="721"/>
      <c r="AJ473" s="721"/>
      <c r="AK473" s="721"/>
      <c r="AL473" s="738">
        <f>AD473</f>
        <v>0</v>
      </c>
      <c r="AM473" s="721"/>
      <c r="AN473" s="721"/>
      <c r="AO473" s="721"/>
      <c r="AP473" s="721"/>
      <c r="AQ473" s="723"/>
      <c r="AR473" s="649"/>
      <c r="AU473" s="894"/>
      <c r="AV473" s="894"/>
      <c r="AW473" s="894"/>
      <c r="AX473" s="894"/>
      <c r="AY473" s="894"/>
      <c r="AZ473" s="70"/>
      <c r="BA473" s="70"/>
    </row>
    <row r="474" spans="2:53" ht="15.75" customHeight="1" thickBot="1" x14ac:dyDescent="0.3">
      <c r="C474" s="591"/>
      <c r="D474" s="538"/>
      <c r="E474" s="546"/>
      <c r="F474" s="364"/>
      <c r="G474" s="381"/>
      <c r="H474" s="827"/>
      <c r="I474" s="538"/>
      <c r="J474" s="473"/>
      <c r="K474" s="557"/>
      <c r="L474" s="363"/>
      <c r="M474" s="538"/>
      <c r="N474" s="365"/>
      <c r="O474" s="373"/>
      <c r="P474" s="691"/>
      <c r="Q474" s="436"/>
      <c r="R474" s="691"/>
      <c r="S474" s="374"/>
      <c r="T474" s="525"/>
      <c r="U474" s="497" t="str">
        <f>U334</f>
        <v>Syn-methanol</v>
      </c>
      <c r="V474" s="1578">
        <f>V334</f>
        <v>0</v>
      </c>
      <c r="W474" s="517"/>
      <c r="AB474" s="416">
        <f t="shared" si="278"/>
        <v>1176.9481376656636</v>
      </c>
      <c r="AC474" s="411">
        <f t="shared" si="278"/>
        <v>2.2765381278612273</v>
      </c>
      <c r="AD474" s="532">
        <f>(V474*AC474*D471)</f>
        <v>0</v>
      </c>
      <c r="AE474" s="720"/>
      <c r="AF474" s="733"/>
      <c r="AG474" s="733"/>
      <c r="AH474" s="738">
        <f>AD474</f>
        <v>0</v>
      </c>
      <c r="AI474" s="721"/>
      <c r="AJ474" s="721"/>
      <c r="AK474" s="721"/>
      <c r="AL474" s="721"/>
      <c r="AM474" s="721"/>
      <c r="AN474" s="721"/>
      <c r="AO474" s="721"/>
      <c r="AP474" s="721"/>
      <c r="AQ474" s="721"/>
      <c r="AR474" s="649"/>
      <c r="AU474" s="70"/>
      <c r="AV474" s="70"/>
      <c r="AW474" s="70"/>
      <c r="AX474" s="70"/>
      <c r="AY474" s="70"/>
      <c r="AZ474" s="894"/>
      <c r="BA474" s="894"/>
    </row>
    <row r="475" spans="2:53" ht="15.75" customHeight="1" thickBot="1" x14ac:dyDescent="0.3">
      <c r="C475" s="595"/>
      <c r="D475" s="1354"/>
      <c r="E475" s="1363"/>
      <c r="F475" s="1364"/>
      <c r="G475" s="507"/>
      <c r="H475" s="1353"/>
      <c r="I475" s="1354"/>
      <c r="J475" s="473"/>
      <c r="K475" s="658"/>
      <c r="L475" s="507"/>
      <c r="M475" s="538"/>
      <c r="N475" s="1365"/>
      <c r="O475" s="405"/>
      <c r="S475" s="445"/>
      <c r="T475" s="525"/>
      <c r="U475" s="497" t="str">
        <f>U335</f>
        <v>No shift in technology /  Diesel</v>
      </c>
      <c r="V475" s="459">
        <f>1-SUM(V472:V474)</f>
        <v>1</v>
      </c>
      <c r="W475" s="538">
        <f>AB475*78</f>
        <v>91801.954737921755</v>
      </c>
      <c r="X475" s="369"/>
      <c r="Y475" s="369"/>
      <c r="Z475" s="613"/>
      <c r="AA475" s="613"/>
      <c r="AB475" s="416">
        <f>((I472*L472)+(I473*L473))/SUM(I472+I473)</f>
        <v>1176.9481376656636</v>
      </c>
      <c r="AC475" s="411">
        <f>((K472*D472)+(K473*D473))/SUM(D472,D473)</f>
        <v>2.2765381278612273</v>
      </c>
      <c r="AD475" s="532">
        <f>(V475*AC475*D471)</f>
        <v>2754.8498455500103</v>
      </c>
      <c r="AE475" s="720"/>
      <c r="AF475" s="738">
        <f>AD475</f>
        <v>2754.8498455500103</v>
      </c>
      <c r="AG475" s="721"/>
      <c r="AH475" s="721"/>
      <c r="AI475" s="721"/>
      <c r="AJ475" s="721"/>
      <c r="AK475" s="721"/>
      <c r="AL475" s="721"/>
      <c r="AM475" s="721"/>
      <c r="AN475" s="721"/>
      <c r="AO475" s="721"/>
      <c r="AP475" s="721"/>
      <c r="AQ475" s="723"/>
      <c r="AR475" s="654"/>
      <c r="AU475" s="70"/>
      <c r="AV475" s="70"/>
      <c r="AW475" s="70"/>
      <c r="AX475" s="70"/>
      <c r="AY475" s="70"/>
      <c r="AZ475" s="70"/>
      <c r="BA475" s="70"/>
    </row>
    <row r="476" spans="2:53" ht="15.75" customHeight="1" thickBot="1" x14ac:dyDescent="0.3">
      <c r="C476" s="596" t="str">
        <f>C336</f>
        <v>Total</v>
      </c>
      <c r="D476" s="760">
        <f>SUM(D426+D445+D448+D451+D456+D461+D467+D468+D472+D473)</f>
        <v>162898.64682335564</v>
      </c>
      <c r="E476" s="1366">
        <f>SUM(E473+E472+E468+E467+E461+E456+E451+E448+E445+E426)</f>
        <v>1</v>
      </c>
      <c r="F476" s="1367"/>
      <c r="G476" s="1367"/>
      <c r="H476" s="1368"/>
      <c r="I476" s="760">
        <f>SUM(I426+I445+I448+I451+I456+I461+I467+I468+I472+I473)</f>
        <v>70429.39723591994</v>
      </c>
      <c r="J476" s="811">
        <f>SUM(J426+J445+J448+J451+J456+J461+J467+J468+J472+J473)</f>
        <v>0.99999999999999989</v>
      </c>
      <c r="K476" s="688"/>
      <c r="L476" s="1367"/>
      <c r="M476" s="760">
        <f>SUM(M427+M432+M437+M445+M448+M451+M456+M461+M467+M468+M472+M473)</f>
        <v>162139.76429698046</v>
      </c>
      <c r="N476" s="798">
        <f>SUM(N426+N445+N448+N451+N456+N461+N467+N468+N472+N473)</f>
        <v>1</v>
      </c>
      <c r="O476" s="427"/>
      <c r="P476" s="696">
        <f>P426+P444+P450+P466+P471</f>
        <v>162139.76429698049</v>
      </c>
      <c r="Q476" s="541"/>
      <c r="R476" s="696">
        <f>R426+R444+R461+R450+R466+R471</f>
        <v>162898.6468233557</v>
      </c>
      <c r="S476" s="428"/>
      <c r="T476" s="689"/>
      <c r="U476" s="633"/>
      <c r="V476" s="429"/>
      <c r="W476" s="696"/>
      <c r="X476" s="427"/>
      <c r="Y476" s="427"/>
      <c r="Z476" s="427"/>
      <c r="AA476" s="427"/>
      <c r="AB476" s="427"/>
      <c r="AC476" s="427"/>
      <c r="AD476" s="710">
        <f>SUM(AD426+AD444+AD450+AD461+AD466+AD471)</f>
        <v>162139.76429698049</v>
      </c>
      <c r="AE476" s="846">
        <f t="shared" ref="AE476:AQ476" si="279">SUM(AE426:AE475)</f>
        <v>39116.316479043126</v>
      </c>
      <c r="AF476" s="847">
        <f t="shared" si="279"/>
        <v>80633.587984882746</v>
      </c>
      <c r="AG476" s="847">
        <f t="shared" si="279"/>
        <v>32347.872667453015</v>
      </c>
      <c r="AH476" s="847">
        <f t="shared" si="279"/>
        <v>0</v>
      </c>
      <c r="AI476" s="847">
        <f t="shared" si="279"/>
        <v>0</v>
      </c>
      <c r="AJ476" s="847">
        <f t="shared" si="279"/>
        <v>3353.6478976891776</v>
      </c>
      <c r="AK476" s="847">
        <f t="shared" si="279"/>
        <v>3783.9814291613397</v>
      </c>
      <c r="AL476" s="847">
        <f t="shared" si="279"/>
        <v>0</v>
      </c>
      <c r="AM476" s="847">
        <f t="shared" si="279"/>
        <v>0</v>
      </c>
      <c r="AN476" s="847">
        <f t="shared" si="279"/>
        <v>0</v>
      </c>
      <c r="AO476" s="847">
        <f t="shared" si="279"/>
        <v>0</v>
      </c>
      <c r="AP476" s="847">
        <f t="shared" si="279"/>
        <v>2904.3578387510588</v>
      </c>
      <c r="AQ476" s="848">
        <f t="shared" si="279"/>
        <v>0</v>
      </c>
      <c r="AR476" s="655"/>
      <c r="AU476" s="70"/>
      <c r="AV476" s="70"/>
      <c r="AW476" s="70"/>
      <c r="AX476" s="70"/>
      <c r="AY476" s="70"/>
      <c r="AZ476" s="70"/>
      <c r="BA476" s="70"/>
    </row>
    <row r="477" spans="2:53" ht="15.75" customHeight="1" thickBot="1" x14ac:dyDescent="0.3">
      <c r="C477" s="5"/>
      <c r="D477" s="1354"/>
      <c r="E477" s="1369"/>
      <c r="F477" s="1352"/>
      <c r="G477" s="1352"/>
      <c r="H477" s="1353"/>
      <c r="I477" s="1354"/>
      <c r="J477" s="1355"/>
      <c r="K477" s="1352"/>
      <c r="L477" s="1352"/>
      <c r="M477" s="1354"/>
      <c r="N477" s="1369"/>
      <c r="V477" s="4"/>
      <c r="W477" s="532"/>
      <c r="AF477" s="529"/>
      <c r="AG477" s="529"/>
      <c r="AH477" s="532"/>
      <c r="AI477" s="532"/>
      <c r="AJ477" s="532"/>
      <c r="AK477" s="532"/>
      <c r="AL477" s="532"/>
      <c r="AM477" s="532"/>
      <c r="AN477" s="532"/>
      <c r="AO477" s="532"/>
      <c r="AU477" s="327"/>
      <c r="AV477" s="327"/>
      <c r="AW477" s="327"/>
      <c r="AX477" s="327"/>
      <c r="AY477" s="327"/>
      <c r="AZ477" s="70"/>
      <c r="BA477" s="70"/>
    </row>
    <row r="478" spans="2:53" ht="15.75" customHeight="1" thickBot="1" x14ac:dyDescent="0.3">
      <c r="C478" s="5"/>
      <c r="D478" s="1959" t="str">
        <f>$D$3</f>
        <v>Transport demand by mode of transport</v>
      </c>
      <c r="E478" s="1960"/>
      <c r="F478" s="1960"/>
      <c r="G478" s="1960"/>
      <c r="H478" s="1960"/>
      <c r="I478" s="1960"/>
      <c r="J478" s="1961"/>
      <c r="K478" s="1959" t="str">
        <f>$K$3</f>
        <v>Transport-energy demand by mode of tranport</v>
      </c>
      <c r="L478" s="1960"/>
      <c r="M478" s="1960"/>
      <c r="N478" s="1960"/>
      <c r="O478" s="1907" t="str">
        <f>$O$3</f>
        <v>Transport and transport-energy demand by fuel</v>
      </c>
      <c r="P478" s="1908"/>
      <c r="Q478" s="1908"/>
      <c r="R478" s="1908"/>
      <c r="S478" s="1909"/>
      <c r="U478" s="849" t="str">
        <f>$U$3</f>
        <v>Implementation of potential technologies</v>
      </c>
      <c r="V478" s="850"/>
      <c r="W478" s="850"/>
      <c r="X478" s="850"/>
      <c r="Y478" s="850"/>
      <c r="Z478" s="850"/>
      <c r="AA478" s="850"/>
      <c r="AB478" s="850"/>
      <c r="AC478" s="850"/>
      <c r="AD478" s="851"/>
      <c r="AE478" s="1901" t="str">
        <f>$AE$3</f>
        <v>Fuel consumpiton after the new technologies are implemented</v>
      </c>
      <c r="AF478" s="1902"/>
      <c r="AG478" s="1902"/>
      <c r="AH478" s="1902"/>
      <c r="AI478" s="1902"/>
      <c r="AJ478" s="1902"/>
      <c r="AK478" s="1902"/>
      <c r="AL478" s="1902"/>
      <c r="AM478" s="1902"/>
      <c r="AN478" s="1902"/>
      <c r="AO478" s="1902"/>
      <c r="AP478" s="1902"/>
      <c r="AQ478" s="1903"/>
      <c r="AS478" s="48"/>
      <c r="AU478" s="70"/>
      <c r="AV478" s="70"/>
      <c r="AW478" s="70"/>
      <c r="AX478" s="70"/>
      <c r="AY478" s="70"/>
      <c r="AZ478" s="327"/>
      <c r="BA478" s="327"/>
    </row>
    <row r="479" spans="2:53" ht="57" thickBot="1" x14ac:dyDescent="0.3">
      <c r="C479" s="1953" t="str">
        <f>C339</f>
        <v>Freight transport</v>
      </c>
      <c r="D479" s="1947" t="str">
        <f>$D$4</f>
        <v>Transport demand</v>
      </c>
      <c r="E479" s="1948"/>
      <c r="F479" s="1370" t="str">
        <f>$F$4</f>
        <v>Capacity</v>
      </c>
      <c r="G479" s="1951" t="str">
        <f>$G$4</f>
        <v>Load factor</v>
      </c>
      <c r="H479" s="1951"/>
      <c r="I479" s="1951" t="str">
        <f>$I$4</f>
        <v>Traffic work</v>
      </c>
      <c r="J479" s="1951"/>
      <c r="K479" s="1949" t="s">
        <v>36</v>
      </c>
      <c r="L479" s="1950"/>
      <c r="M479" s="1951" t="str">
        <f>$M$4</f>
        <v>Energy demand</v>
      </c>
      <c r="N479" s="1955"/>
      <c r="O479" s="1904" t="str">
        <f>$O$4</f>
        <v>Total fuel consumption</v>
      </c>
      <c r="P479" s="1905"/>
      <c r="Q479" s="1905"/>
      <c r="R479" s="1905" t="str">
        <f>$R$4</f>
        <v>Transport demand</v>
      </c>
      <c r="S479" s="1906"/>
      <c r="T479" s="518" t="str">
        <f>$T$4</f>
        <v>No of vehicles</v>
      </c>
      <c r="U479" s="328" t="str">
        <f>$U$4</f>
        <v>Type of technology</v>
      </c>
      <c r="V479" s="927" t="str">
        <f>$V$4</f>
        <v>Share</v>
      </c>
      <c r="W479" s="712" t="str">
        <f>$W$4</f>
        <v>CO2-emissions</v>
      </c>
      <c r="X479" s="328" t="str">
        <f>$X$4</f>
        <v>Specific energy consumption to move the vehicle</v>
      </c>
      <c r="Y479" s="328" t="str">
        <f>$Y$4</f>
        <v>Engine efficiency</v>
      </c>
      <c r="Z479" s="1905" t="str">
        <f>$Z$4</f>
        <v xml:space="preserve">Specific energy consumption </v>
      </c>
      <c r="AA479" s="1905"/>
      <c r="AB479" s="1905"/>
      <c r="AC479" s="328" t="str">
        <f>$AC$4</f>
        <v>Utilization efficiency</v>
      </c>
      <c r="AD479" s="712" t="str">
        <f>$AD$4</f>
        <v>Energy demand</v>
      </c>
      <c r="AE479" s="711" t="str">
        <f>$AE$4</f>
        <v>Petrol</v>
      </c>
      <c r="AF479" s="712" t="str">
        <f>$AF$4</f>
        <v>Diesel</v>
      </c>
      <c r="AG479" s="712" t="str">
        <f>$AG$4</f>
        <v xml:space="preserve">Jet fuel </v>
      </c>
      <c r="AH479" s="712" t="str">
        <f>$AH$4</f>
        <v>Syn-methanol</v>
      </c>
      <c r="AI479" s="712" t="str">
        <f>$AI$4</f>
        <v>Bio-methanol</v>
      </c>
      <c r="AJ479" s="712" t="str">
        <f>$AJ$4</f>
        <v>Bioethanol</v>
      </c>
      <c r="AK479" s="712" t="str">
        <f>$AK$4</f>
        <v>Biodiesel</v>
      </c>
      <c r="AL479" s="712" t="str">
        <f>$AL$4</f>
        <v>Biogas</v>
      </c>
      <c r="AM479" s="712" t="str">
        <f>$AM$4</f>
        <v>Bio-jetfuel</v>
      </c>
      <c r="AN479" s="712" t="str">
        <f>$AN$4</f>
        <v>Electricity BEV</v>
      </c>
      <c r="AO479" s="712" t="str">
        <f>$AO$4</f>
        <v>Electricity Plug-in-hybrid</v>
      </c>
      <c r="AP479" s="712" t="str">
        <f>$AP$4</f>
        <v>Electricity Train / bus</v>
      </c>
      <c r="AQ479" s="656" t="str">
        <f>$AQ$4</f>
        <v>Syn-jetfuel</v>
      </c>
      <c r="AR479" s="518" t="str">
        <f>$AR$4</f>
        <v>No of vehicles</v>
      </c>
      <c r="AU479" s="70"/>
      <c r="AV479" s="70"/>
      <c r="AW479" s="70"/>
      <c r="AX479" s="70"/>
      <c r="AY479" s="70"/>
      <c r="AZ479" s="70"/>
      <c r="BA479" s="70"/>
    </row>
    <row r="480" spans="2:53" ht="16.5" thickBot="1" x14ac:dyDescent="0.3">
      <c r="B480" s="1941">
        <v>2050</v>
      </c>
      <c r="C480" s="1954"/>
      <c r="D480" s="1371" t="str">
        <f t="shared" ref="D480:S480" si="280">D$60</f>
        <v>Mtkm</v>
      </c>
      <c r="E480" s="1372" t="str">
        <f t="shared" si="280"/>
        <v>%</v>
      </c>
      <c r="F480" s="1373" t="str">
        <f t="shared" si="280"/>
        <v>t/vehicle</v>
      </c>
      <c r="G480" s="1374" t="str">
        <f t="shared" si="280"/>
        <v>%</v>
      </c>
      <c r="H480" s="1375" t="str">
        <f t="shared" si="280"/>
        <v>t/vehicle</v>
      </c>
      <c r="I480" s="1376" t="str">
        <f t="shared" si="280"/>
        <v>Mkm</v>
      </c>
      <c r="J480" s="1377" t="str">
        <f t="shared" si="280"/>
        <v>%</v>
      </c>
      <c r="K480" s="1378" t="str">
        <f t="shared" si="280"/>
        <v>MJ/tkm</v>
      </c>
      <c r="L480" s="1373" t="str">
        <f t="shared" si="280"/>
        <v>MJ/km</v>
      </c>
      <c r="M480" s="1371" t="str">
        <f t="shared" si="280"/>
        <v>TJ</v>
      </c>
      <c r="N480" s="1379" t="str">
        <f t="shared" si="280"/>
        <v>%</v>
      </c>
      <c r="O480" s="350" t="str">
        <f t="shared" si="280"/>
        <v>Fuel</v>
      </c>
      <c r="P480" s="746" t="str">
        <f t="shared" si="280"/>
        <v>TJ</v>
      </c>
      <c r="Q480" s="808" t="str">
        <f t="shared" si="280"/>
        <v>% TJ</v>
      </c>
      <c r="R480" s="746" t="str">
        <f t="shared" si="280"/>
        <v>Mtkm</v>
      </c>
      <c r="S480" s="794" t="str">
        <f t="shared" si="280"/>
        <v>%</v>
      </c>
      <c r="T480" s="526"/>
      <c r="U480" s="348"/>
      <c r="V480" s="350" t="str">
        <f t="shared" ref="V480:AH480" si="281">V$60</f>
        <v>% of traffic work</v>
      </c>
      <c r="W480" s="746" t="str">
        <f t="shared" si="281"/>
        <v>[g/km]</v>
      </c>
      <c r="X480" s="348" t="str">
        <f t="shared" si="281"/>
        <v>MJ_mech/km</v>
      </c>
      <c r="Y480" s="348" t="str">
        <f t="shared" si="281"/>
        <v xml:space="preserve"> (MJ_mech/MJ)</v>
      </c>
      <c r="Z480" s="349" t="str">
        <f t="shared" si="281"/>
        <v>[km/Liter]</v>
      </c>
      <c r="AA480" s="349" t="str">
        <f t="shared" si="281"/>
        <v>[km/MJ]</v>
      </c>
      <c r="AB480" s="348" t="str">
        <f t="shared" si="281"/>
        <v>[MJ/km]</v>
      </c>
      <c r="AC480" s="349" t="str">
        <f t="shared" si="281"/>
        <v>MJ/tkm</v>
      </c>
      <c r="AD480" s="746" t="str">
        <f t="shared" si="281"/>
        <v>Total TJ</v>
      </c>
      <c r="AE480" s="713" t="str">
        <f t="shared" si="281"/>
        <v>TJ</v>
      </c>
      <c r="AF480" s="714" t="str">
        <f t="shared" si="281"/>
        <v>TJ</v>
      </c>
      <c r="AG480" s="714" t="str">
        <f t="shared" si="281"/>
        <v>TJ</v>
      </c>
      <c r="AH480" s="714" t="str">
        <f t="shared" si="281"/>
        <v>TJ</v>
      </c>
      <c r="AI480" s="714" t="s">
        <v>2</v>
      </c>
      <c r="AJ480" s="714" t="str">
        <f t="shared" ref="AJ480:AQ480" si="282">AJ$60</f>
        <v>TJ</v>
      </c>
      <c r="AK480" s="714" t="str">
        <f t="shared" si="282"/>
        <v>TJ</v>
      </c>
      <c r="AL480" s="714" t="str">
        <f t="shared" si="282"/>
        <v>TJ</v>
      </c>
      <c r="AM480" s="714" t="str">
        <f t="shared" si="282"/>
        <v>TJ</v>
      </c>
      <c r="AN480" s="714" t="str">
        <f t="shared" si="282"/>
        <v>TJ</v>
      </c>
      <c r="AO480" s="714" t="str">
        <f t="shared" si="282"/>
        <v>TJ</v>
      </c>
      <c r="AP480" s="714" t="str">
        <f t="shared" si="282"/>
        <v>TJ</v>
      </c>
      <c r="AQ480" s="715" t="str">
        <f t="shared" si="282"/>
        <v>TJ</v>
      </c>
      <c r="AR480" s="526"/>
      <c r="AU480" s="70"/>
      <c r="AV480" s="70"/>
      <c r="AW480" s="70"/>
      <c r="AX480" s="70"/>
      <c r="AY480" s="70"/>
      <c r="AZ480" s="70"/>
      <c r="BA480" s="70"/>
    </row>
    <row r="481" spans="2:63" ht="15.75" customHeight="1" thickBot="1" x14ac:dyDescent="0.3">
      <c r="B481" s="1942"/>
      <c r="C481" s="589" t="str">
        <f>C341</f>
        <v>National truck</v>
      </c>
      <c r="D481" s="759">
        <f>SUM(D482:D484)</f>
        <v>19244.010864930344</v>
      </c>
      <c r="E481" s="1331">
        <f>D481/D561</f>
        <v>0.11745775506895074</v>
      </c>
      <c r="F481" s="1328">
        <f>((F482*I482)+(F483*I483)+(F484*I484))/(I482+I483+I484)</f>
        <v>20</v>
      </c>
      <c r="G481" s="1320">
        <f>H481/F481</f>
        <v>0.42498352533443173</v>
      </c>
      <c r="H481" s="1328">
        <f>((H482*I482)+(H483*I483)+(H484*I484))/(I482+I483+I484)</f>
        <v>8.4996705066886342</v>
      </c>
      <c r="I481" s="759">
        <f>D481/H481</f>
        <v>2264.0890431913426</v>
      </c>
      <c r="J481" s="795">
        <f>J483+J482+J484</f>
        <v>0.11669430770048381</v>
      </c>
      <c r="K481" s="1338">
        <f>L481/H481</f>
        <v>1.5486680387350515</v>
      </c>
      <c r="L481" s="1328">
        <f>((L482*I482)+(L483*I483)+(L484*I484))/(I482+I483+I484)</f>
        <v>13.163168053487649</v>
      </c>
      <c r="M481" s="759">
        <f>D481*K481</f>
        <v>29802.584563587698</v>
      </c>
      <c r="N481" s="1362">
        <f>M481/M561</f>
        <v>0.2407534975293775</v>
      </c>
      <c r="O481" s="682" t="s">
        <v>60</v>
      </c>
      <c r="P481" s="759">
        <f>SUM(P482+P483)</f>
        <v>29802.584563587698</v>
      </c>
      <c r="Q481" s="801">
        <f>SUM(Q482+Q483)</f>
        <v>1</v>
      </c>
      <c r="R481" s="759">
        <f>SUM(R482+R483)</f>
        <v>19244.010864930347</v>
      </c>
      <c r="S481" s="801">
        <f>SUM(S482+S483)</f>
        <v>1</v>
      </c>
      <c r="T481" s="781">
        <f>T341*((D481+D493)/(D341+D353))/(1.01^10)</f>
        <v>56901.245694826415</v>
      </c>
      <c r="U481" s="776" t="str">
        <f t="shared" ref="U481:U488" si="283">U341</f>
        <v>Sum</v>
      </c>
      <c r="V481" s="4"/>
      <c r="W481" s="532"/>
      <c r="X481" s="4"/>
      <c r="Y481" s="4"/>
      <c r="Z481" s="4"/>
      <c r="AA481" s="4"/>
      <c r="AB481" s="4"/>
      <c r="AC481" s="4"/>
      <c r="AD481" s="748">
        <f>SUM(AD482:AD492)</f>
        <v>29802.584563587698</v>
      </c>
      <c r="AE481" s="739"/>
      <c r="AF481" s="740"/>
      <c r="AG481" s="740"/>
      <c r="AH481" s="740"/>
      <c r="AI481" s="740"/>
      <c r="AJ481" s="717"/>
      <c r="AK481" s="717"/>
      <c r="AL481" s="717"/>
      <c r="AM481" s="717"/>
      <c r="AN481" s="717"/>
      <c r="AO481" s="717"/>
      <c r="AP481" s="717"/>
      <c r="AQ481" s="717"/>
      <c r="AR481" s="644">
        <f>SUM(AR482:AR492)</f>
        <v>56901.245694826415</v>
      </c>
      <c r="AU481" s="70"/>
      <c r="AV481" s="70"/>
      <c r="AW481" s="70"/>
      <c r="AX481" s="70"/>
      <c r="AY481" s="70"/>
      <c r="AZ481" s="70"/>
      <c r="BA481" s="70"/>
    </row>
    <row r="482" spans="2:63" ht="15.75" customHeight="1" x14ac:dyDescent="0.25">
      <c r="B482" s="1942"/>
      <c r="C482" s="591" t="str">
        <f>C342</f>
        <v>&lt;50km</v>
      </c>
      <c r="D482" s="538">
        <f>((D342*(1+'Growth, Modal Shift, InfraCosts'!K48)^'Growth, Modal Shift, InfraCosts'!$L$4))</f>
        <v>1634.3534965087083</v>
      </c>
      <c r="E482" s="546">
        <f>D482/D561</f>
        <v>9.9754408806138426E-3</v>
      </c>
      <c r="F482" s="1334">
        <v>20</v>
      </c>
      <c r="G482" s="881">
        <v>0.376</v>
      </c>
      <c r="H482" s="827">
        <f>G482*F482</f>
        <v>7.52</v>
      </c>
      <c r="I482" s="538">
        <f>D482/H482</f>
        <v>217.33424155700911</v>
      </c>
      <c r="J482" s="473">
        <f>I482/I561</f>
        <v>1.1201709992093068E-2</v>
      </c>
      <c r="K482" s="1342">
        <f>L482/H482</f>
        <v>5.1939064002953286</v>
      </c>
      <c r="L482" s="1343">
        <f>L62*$AZ$6</f>
        <v>39.058176130220872</v>
      </c>
      <c r="M482" s="538">
        <f>D482*K482</f>
        <v>8488.6790858616296</v>
      </c>
      <c r="N482" s="365">
        <f>M482/M561</f>
        <v>6.8573890796793491E-2</v>
      </c>
      <c r="O482" s="450" t="s">
        <v>3</v>
      </c>
      <c r="P482" s="532">
        <f>Q482*M481</f>
        <v>28088.935951181404</v>
      </c>
      <c r="Q482" s="436">
        <f>1-Q483</f>
        <v>0.9425</v>
      </c>
      <c r="R482" s="532">
        <f>S482*D481</f>
        <v>18262.904048445249</v>
      </c>
      <c r="S482" s="448">
        <f>Q482*Z488/(Q482*Z488+Q483*Z485)</f>
        <v>0.94901755027206758</v>
      </c>
      <c r="T482" s="525">
        <f>S482*T481</f>
        <v>54000.280796733197</v>
      </c>
      <c r="U482" s="497" t="str">
        <f t="shared" si="283"/>
        <v>Fuel cell hybrid truck Syn-methanol</v>
      </c>
      <c r="V482" s="1579">
        <f t="shared" ref="V482:V491" si="284">V342</f>
        <v>0</v>
      </c>
      <c r="W482" s="532"/>
      <c r="X482" s="616"/>
      <c r="Y482" s="362">
        <f>Y440</f>
        <v>0.6</v>
      </c>
      <c r="Z482" s="411"/>
      <c r="AA482" s="615">
        <f t="shared" ref="AA482:AA488" si="285">1/AB482</f>
        <v>0.1808798893455999</v>
      </c>
      <c r="AB482" s="616">
        <f>AB342*AB492/AB352</f>
        <v>5.5285305824648114</v>
      </c>
      <c r="AC482" s="432">
        <f>AB482/H481</f>
        <v>0.65044057626872154</v>
      </c>
      <c r="AD482" s="748">
        <f>AC482*V482*D481</f>
        <v>0</v>
      </c>
      <c r="AE482" s="720"/>
      <c r="AF482" s="733"/>
      <c r="AG482" s="733"/>
      <c r="AH482" s="722">
        <f>AD482</f>
        <v>0</v>
      </c>
      <c r="AI482" s="733"/>
      <c r="AJ482" s="721"/>
      <c r="AK482" s="721"/>
      <c r="AL482" s="721"/>
      <c r="AM482" s="721"/>
      <c r="AN482" s="721"/>
      <c r="AO482" s="721"/>
      <c r="AP482" s="721"/>
      <c r="AR482" s="645">
        <f>V482*T481</f>
        <v>0</v>
      </c>
      <c r="AU482" s="70"/>
      <c r="AV482" s="70"/>
      <c r="AW482" s="70"/>
      <c r="AX482" s="70"/>
      <c r="AY482" s="70"/>
      <c r="AZ482" s="70"/>
      <c r="BA482" s="70"/>
    </row>
    <row r="483" spans="2:63" ht="15.75" customHeight="1" x14ac:dyDescent="0.25">
      <c r="B483" s="1942"/>
      <c r="C483" s="591" t="str">
        <f>C343</f>
        <v>50-200km</v>
      </c>
      <c r="D483" s="691">
        <f>((D343*(1+'Growth, Modal Shift, InfraCosts'!K49)^'Growth, Modal Shift, InfraCosts'!$L$4))*(1-'Growth, Modal Shift, InfraCosts'!T51)</f>
        <v>6122.0832294963166</v>
      </c>
      <c r="E483" s="546">
        <f>D483/D561</f>
        <v>3.7366750493388487E-2</v>
      </c>
      <c r="F483" s="1334">
        <v>20</v>
      </c>
      <c r="G483" s="882">
        <v>0.42499999999999999</v>
      </c>
      <c r="H483" s="827">
        <f>G483*F483</f>
        <v>8.5</v>
      </c>
      <c r="I483" s="538">
        <f>D483/H483</f>
        <v>720.24508582309602</v>
      </c>
      <c r="J483" s="473">
        <f>I483/I561</f>
        <v>3.712243646845767E-2</v>
      </c>
      <c r="K483" s="1342">
        <f>L483/H483</f>
        <v>1.9299334087873841</v>
      </c>
      <c r="L483" s="1344">
        <f>L63*$AZ$6</f>
        <v>16.404433974692765</v>
      </c>
      <c r="M483" s="532">
        <f>D483*K483</f>
        <v>11815.212955981902</v>
      </c>
      <c r="N483" s="372">
        <f>M483/M561</f>
        <v>9.5446548843367313E-2</v>
      </c>
      <c r="O483" s="917" t="s">
        <v>74</v>
      </c>
      <c r="P483" s="912">
        <f>Q483*M481</f>
        <v>1713.6486124062926</v>
      </c>
      <c r="Q483" s="913">
        <f>Q343</f>
        <v>5.7500000000000002E-2</v>
      </c>
      <c r="R483" s="912">
        <f>S483*D481</f>
        <v>981.1068164850974</v>
      </c>
      <c r="S483" s="918">
        <f>Q483*Z485/(Q482*Z488+Q483*Z485)</f>
        <v>5.0982449727932463E-2</v>
      </c>
      <c r="T483" s="520">
        <f>S483*T481</f>
        <v>2900.9648980932211</v>
      </c>
      <c r="U483" s="497" t="str">
        <f t="shared" si="283"/>
        <v>ICE Biogas</v>
      </c>
      <c r="V483" s="1577">
        <f t="shared" si="284"/>
        <v>0</v>
      </c>
      <c r="W483" s="532"/>
      <c r="X483" s="616"/>
      <c r="Y483" s="362">
        <f>Y343/$AX$6</f>
        <v>0.28583577715960901</v>
      </c>
      <c r="Z483" s="411"/>
      <c r="AA483" s="615">
        <f t="shared" si="285"/>
        <v>7.2930771384145859E-2</v>
      </c>
      <c r="AB483" s="61">
        <f>AB492*Y492/Y483</f>
        <v>13.711633389049634</v>
      </c>
      <c r="AC483" s="432">
        <f>AB483/H481</f>
        <v>1.6131958736823453</v>
      </c>
      <c r="AD483" s="748">
        <f>AC483*V483*D481</f>
        <v>0</v>
      </c>
      <c r="AE483" s="720"/>
      <c r="AF483" s="733"/>
      <c r="AG483" s="733"/>
      <c r="AH483" s="892"/>
      <c r="AI483" s="733"/>
      <c r="AJ483" s="741"/>
      <c r="AK483" s="741"/>
      <c r="AL483" s="722">
        <f>AD483</f>
        <v>0</v>
      </c>
      <c r="AM483" s="721"/>
      <c r="AN483" s="721"/>
      <c r="AO483" s="721"/>
      <c r="AP483" s="721"/>
      <c r="AQ483" s="721"/>
      <c r="AR483" s="645">
        <f>V483*T481</f>
        <v>0</v>
      </c>
      <c r="AU483" s="70"/>
      <c r="AV483" s="70"/>
      <c r="AW483" s="70"/>
      <c r="AX483" s="70"/>
      <c r="AY483" s="70"/>
      <c r="AZ483" s="70"/>
      <c r="BA483" s="70"/>
      <c r="BB483" s="48"/>
      <c r="BC483" s="48"/>
      <c r="BD483" s="48"/>
      <c r="BE483" s="48"/>
      <c r="BF483" s="48"/>
      <c r="BG483" s="48"/>
      <c r="BH483" s="48"/>
      <c r="BI483" s="48"/>
      <c r="BJ483" s="48"/>
      <c r="BK483" s="48"/>
    </row>
    <row r="484" spans="2:63" ht="15.75" customHeight="1" thickBot="1" x14ac:dyDescent="0.3">
      <c r="B484" s="1943"/>
      <c r="C484" s="591" t="str">
        <f>C344</f>
        <v>&gt;200km</v>
      </c>
      <c r="D484" s="691">
        <f>((D344*(1+'Growth, Modal Shift, InfraCosts'!K50)^'Growth, Modal Shift, InfraCosts'!$L$4))*(1-'Growth, Modal Shift, InfraCosts'!T52)</f>
        <v>11487.574138925318</v>
      </c>
      <c r="E484" s="546">
        <f>D484/D561</f>
        <v>7.011556369494841E-2</v>
      </c>
      <c r="F484" s="1334">
        <v>20</v>
      </c>
      <c r="G484" s="883">
        <v>0.433</v>
      </c>
      <c r="H484" s="827">
        <f>G484*F484</f>
        <v>8.66</v>
      </c>
      <c r="I484" s="538">
        <f>D484/H484</f>
        <v>1326.5097158112376</v>
      </c>
      <c r="J484" s="473">
        <f>I484/I561</f>
        <v>6.8370161239933072E-2</v>
      </c>
      <c r="K484" s="1342">
        <f>L484/H484</f>
        <v>0.82686670021637709</v>
      </c>
      <c r="L484" s="1345">
        <f>L64*$AZ$6</f>
        <v>7.1606656238738262</v>
      </c>
      <c r="M484" s="532">
        <f>D484*K484</f>
        <v>9498.6925217441676</v>
      </c>
      <c r="N484" s="372">
        <f>M484/M561</f>
        <v>7.6733057889216708E-2</v>
      </c>
      <c r="T484" s="524"/>
      <c r="U484" s="497" t="str">
        <f t="shared" si="283"/>
        <v>ICE hybrid vehicle Biogas</v>
      </c>
      <c r="V484" s="1577">
        <f t="shared" si="284"/>
        <v>0</v>
      </c>
      <c r="W484" s="532"/>
      <c r="X484" s="616"/>
      <c r="Y484" s="1631">
        <f>Y483*(Y346/Y345)</f>
        <v>0.41718362705871098</v>
      </c>
      <c r="Z484" s="411"/>
      <c r="AA484" s="615">
        <f t="shared" si="285"/>
        <v>0.10644407090172685</v>
      </c>
      <c r="AB484" s="61">
        <f>AB492*Y492/Y484</f>
        <v>9.3946049932949052</v>
      </c>
      <c r="AC484" s="432">
        <f>AB484/H481</f>
        <v>1.1052904916610615</v>
      </c>
      <c r="AD484" s="748">
        <f>AC484*V484*D481</f>
        <v>0</v>
      </c>
      <c r="AE484" s="720"/>
      <c r="AF484" s="733"/>
      <c r="AG484" s="733"/>
      <c r="AH484" s="892"/>
      <c r="AI484" s="733"/>
      <c r="AJ484" s="741"/>
      <c r="AK484" s="741"/>
      <c r="AL484" s="722">
        <f>AD484</f>
        <v>0</v>
      </c>
      <c r="AM484" s="721"/>
      <c r="AN484" s="721"/>
      <c r="AO484" s="721"/>
      <c r="AP484" s="721"/>
      <c r="AQ484" s="721"/>
      <c r="AR484" s="645">
        <f>V484*T481</f>
        <v>0</v>
      </c>
      <c r="AT484" s="27"/>
      <c r="AU484" s="70"/>
      <c r="AV484" s="70"/>
      <c r="AW484" s="70"/>
      <c r="AX484" s="70"/>
      <c r="AY484" s="70"/>
      <c r="AZ484" s="70"/>
      <c r="BA484" s="70"/>
    </row>
    <row r="485" spans="2:63" ht="15.75" customHeight="1" x14ac:dyDescent="0.25">
      <c r="C485" s="597"/>
      <c r="D485" s="691"/>
      <c r="E485" s="546"/>
      <c r="F485" s="1334"/>
      <c r="G485" s="1318"/>
      <c r="H485" s="827"/>
      <c r="I485" s="538"/>
      <c r="J485" s="473"/>
      <c r="K485" s="1342"/>
      <c r="L485" s="1334"/>
      <c r="M485" s="532"/>
      <c r="N485" s="372"/>
      <c r="T485" s="524"/>
      <c r="U485" s="497" t="str">
        <f t="shared" si="283"/>
        <v>ICE Bio-methanol</v>
      </c>
      <c r="V485" s="1577">
        <f t="shared" si="284"/>
        <v>0</v>
      </c>
      <c r="W485" s="694"/>
      <c r="X485" s="616"/>
      <c r="Y485" s="1631">
        <f>Y488</f>
        <v>0.29774560120792604</v>
      </c>
      <c r="Z485" s="61">
        <f>1/((AB485/37600)/0.84*1000)</f>
        <v>2.3994223785383983</v>
      </c>
      <c r="AA485" s="615">
        <f t="shared" si="285"/>
        <v>7.5969553525151945E-2</v>
      </c>
      <c r="AB485" s="61">
        <f>AB492</f>
        <v>13.163168053487649</v>
      </c>
      <c r="AC485" s="432">
        <f>AB485/H481</f>
        <v>1.5486680387350515</v>
      </c>
      <c r="AD485" s="748">
        <f>AC485*V485*D481</f>
        <v>0</v>
      </c>
      <c r="AE485" s="720"/>
      <c r="AF485" s="733"/>
      <c r="AG485" s="733"/>
      <c r="AH485" s="892"/>
      <c r="AI485" s="722">
        <f>+AD485</f>
        <v>0</v>
      </c>
      <c r="AJ485" s="721"/>
      <c r="AK485" s="721"/>
      <c r="AL485" s="721"/>
      <c r="AM485" s="721"/>
      <c r="AN485" s="721"/>
      <c r="AO485" s="721"/>
      <c r="AP485" s="721"/>
      <c r="AQ485" s="721"/>
      <c r="AR485" s="645">
        <f>V485*T481</f>
        <v>0</v>
      </c>
      <c r="AU485" s="70"/>
      <c r="AV485" s="70"/>
      <c r="AW485" s="70"/>
      <c r="AX485" s="70"/>
      <c r="AY485" s="70"/>
      <c r="AZ485" s="70"/>
      <c r="BA485" s="70"/>
    </row>
    <row r="486" spans="2:63" ht="15.75" customHeight="1" x14ac:dyDescent="0.25">
      <c r="C486" s="597"/>
      <c r="D486" s="691"/>
      <c r="E486" s="546"/>
      <c r="F486" s="1334"/>
      <c r="G486" s="1318"/>
      <c r="H486" s="827"/>
      <c r="I486" s="538"/>
      <c r="J486" s="473"/>
      <c r="K486" s="1342"/>
      <c r="L486" s="1334"/>
      <c r="M486" s="532"/>
      <c r="N486" s="372"/>
      <c r="O486" s="435"/>
      <c r="P486" s="691"/>
      <c r="Q486" s="436"/>
      <c r="S486" s="436"/>
      <c r="T486" s="521"/>
      <c r="U486" s="497" t="str">
        <f t="shared" si="283"/>
        <v>ICE hybrid vehicle Bio-methanol</v>
      </c>
      <c r="V486" s="1577">
        <f t="shared" si="284"/>
        <v>0</v>
      </c>
      <c r="W486" s="694"/>
      <c r="X486" s="616"/>
      <c r="Y486" s="1631">
        <f>Y485*(Y346/Y345)</f>
        <v>0.43456627818615728</v>
      </c>
      <c r="Z486" s="61">
        <f>1/((AB486/37600)/0.84*1000)</f>
        <v>3.5020099326668142</v>
      </c>
      <c r="AA486" s="615">
        <f t="shared" si="285"/>
        <v>0.11087924052263215</v>
      </c>
      <c r="AB486" s="61">
        <f>AB492*Y492/Y486</f>
        <v>9.0188207935631084</v>
      </c>
      <c r="AC486" s="432">
        <f>AB486/H481</f>
        <v>1.0610788719946191</v>
      </c>
      <c r="AD486" s="748">
        <f>AC486*V486*D481</f>
        <v>0</v>
      </c>
      <c r="AE486" s="720"/>
      <c r="AF486" s="733"/>
      <c r="AG486" s="733"/>
      <c r="AH486" s="892"/>
      <c r="AI486" s="722">
        <f>+AD486</f>
        <v>0</v>
      </c>
      <c r="AJ486" s="721"/>
      <c r="AK486" s="721"/>
      <c r="AL486" s="721"/>
      <c r="AM486" s="721"/>
      <c r="AN486" s="721"/>
      <c r="AO486" s="721"/>
      <c r="AP486" s="721"/>
      <c r="AQ486" s="721"/>
      <c r="AR486" s="645">
        <f>V486*T481</f>
        <v>0</v>
      </c>
      <c r="AU486" s="70"/>
      <c r="AV486" s="70"/>
      <c r="AW486" s="70"/>
      <c r="AX486" s="70"/>
      <c r="AY486" s="70"/>
      <c r="AZ486" s="70"/>
      <c r="BA486" s="70"/>
    </row>
    <row r="487" spans="2:63" ht="15.75" customHeight="1" x14ac:dyDescent="0.25">
      <c r="C487" s="597"/>
      <c r="D487" s="691"/>
      <c r="E487" s="546"/>
      <c r="F487" s="1334"/>
      <c r="G487" s="1318"/>
      <c r="H487" s="827"/>
      <c r="I487" s="538"/>
      <c r="J487" s="473"/>
      <c r="K487" s="1342"/>
      <c r="L487" s="1334"/>
      <c r="M487" s="532"/>
      <c r="N487" s="372"/>
      <c r="O487" s="435"/>
      <c r="P487" s="691"/>
      <c r="Q487" s="436"/>
      <c r="S487" s="436"/>
      <c r="T487" s="521"/>
      <c r="U487" s="1555" t="str">
        <f t="shared" si="283"/>
        <v>ICE Diesel Hybrid</v>
      </c>
      <c r="V487" s="1577">
        <f t="shared" si="284"/>
        <v>0</v>
      </c>
      <c r="W487" s="694">
        <f>AB487*74</f>
        <v>667.39273872367005</v>
      </c>
      <c r="X487" s="616"/>
      <c r="Y487" s="362">
        <f>Y486</f>
        <v>0.43456627818615728</v>
      </c>
      <c r="Z487" s="61">
        <f>1/((AB487/42700)/0.84*1000)</f>
        <v>3.9770165990657689</v>
      </c>
      <c r="AA487" s="615">
        <f t="shared" si="285"/>
        <v>0.11087924052263215</v>
      </c>
      <c r="AB487" s="61">
        <f>AB486</f>
        <v>9.0188207935631084</v>
      </c>
      <c r="AC487" s="432">
        <f>AB487/H481</f>
        <v>1.0610788719946191</v>
      </c>
      <c r="AD487" s="748">
        <f>AC487*V487*D481</f>
        <v>0</v>
      </c>
      <c r="AE487" s="720"/>
      <c r="AF487" s="722">
        <f>AD487</f>
        <v>0</v>
      </c>
      <c r="AG487" s="733"/>
      <c r="AH487" s="892"/>
      <c r="AI487" s="733"/>
      <c r="AJ487" s="721"/>
      <c r="AK487" s="721"/>
      <c r="AL487" s="721"/>
      <c r="AM487" s="721"/>
      <c r="AN487" s="721"/>
      <c r="AO487" s="721"/>
      <c r="AP487" s="721"/>
      <c r="AQ487" s="721"/>
      <c r="AR487" s="645">
        <f>V487*T481</f>
        <v>0</v>
      </c>
      <c r="AU487" s="1526"/>
      <c r="AV487" s="1526"/>
      <c r="AW487" s="1526"/>
      <c r="AX487" s="1526"/>
      <c r="AY487" s="1526"/>
      <c r="AZ487" s="70"/>
      <c r="BA487" s="70"/>
    </row>
    <row r="488" spans="2:63" ht="15.75" customHeight="1" x14ac:dyDescent="0.25">
      <c r="C488" s="597"/>
      <c r="D488" s="691"/>
      <c r="E488" s="546"/>
      <c r="F488" s="1334"/>
      <c r="G488" s="1318"/>
      <c r="H488" s="827"/>
      <c r="I488" s="538"/>
      <c r="J488" s="473"/>
      <c r="K488" s="1342"/>
      <c r="L488" s="1334"/>
      <c r="M488" s="532"/>
      <c r="N488" s="372"/>
      <c r="O488" s="435"/>
      <c r="P488" s="691"/>
      <c r="Q488" s="436"/>
      <c r="S488" s="436"/>
      <c r="T488" s="521"/>
      <c r="U488" s="497" t="str">
        <f t="shared" si="283"/>
        <v>ICE Diesel</v>
      </c>
      <c r="V488" s="1577">
        <f t="shared" si="284"/>
        <v>0</v>
      </c>
      <c r="W488" s="694">
        <f>AB488*74</f>
        <v>974.07443595808604</v>
      </c>
      <c r="X488" s="616"/>
      <c r="Y488" s="362">
        <f>Y348/$AX$6</f>
        <v>0.29774560120792604</v>
      </c>
      <c r="Z488" s="61">
        <f>1/((AB488/42700)/0.84*1000)</f>
        <v>2.7248759458401497</v>
      </c>
      <c r="AA488" s="615">
        <f t="shared" si="285"/>
        <v>7.5969553525151945E-2</v>
      </c>
      <c r="AB488" s="61">
        <f>AB492</f>
        <v>13.163168053487649</v>
      </c>
      <c r="AC488" s="411">
        <f>AB488/H481</f>
        <v>1.5486680387350515</v>
      </c>
      <c r="AD488" s="748">
        <f>AC488*V488*D481</f>
        <v>0</v>
      </c>
      <c r="AE488" s="720"/>
      <c r="AF488" s="722">
        <f>AD488</f>
        <v>0</v>
      </c>
      <c r="AG488" s="733"/>
      <c r="AH488" s="733"/>
      <c r="AI488" s="733"/>
      <c r="AJ488" s="721"/>
      <c r="AK488" s="721"/>
      <c r="AL488" s="721"/>
      <c r="AM488" s="721"/>
      <c r="AN488" s="721"/>
      <c r="AO488" s="721"/>
      <c r="AP488" s="721"/>
      <c r="AQ488" s="721"/>
      <c r="AR488" s="645">
        <f>V488*T481</f>
        <v>0</v>
      </c>
      <c r="AU488" s="70"/>
      <c r="AV488" s="70"/>
      <c r="AW488" s="70"/>
      <c r="AX488" s="70"/>
      <c r="AY488" s="70"/>
      <c r="AZ488" s="1526"/>
      <c r="BA488" s="1526"/>
    </row>
    <row r="489" spans="2:63" ht="15.75" customHeight="1" x14ac:dyDescent="0.25">
      <c r="C489" s="597"/>
      <c r="D489" s="691"/>
      <c r="E489" s="546"/>
      <c r="F489" s="1334"/>
      <c r="G489" s="1318"/>
      <c r="H489" s="827"/>
      <c r="I489" s="538"/>
      <c r="J489" s="473"/>
      <c r="K489" s="1342"/>
      <c r="L489" s="1334"/>
      <c r="M489" s="532"/>
      <c r="N489" s="372"/>
      <c r="O489" s="435"/>
      <c r="P489" s="691"/>
      <c r="Q489" s="436"/>
      <c r="S489" s="436"/>
      <c r="T489" s="521"/>
      <c r="U489" s="1555" t="s">
        <v>483</v>
      </c>
      <c r="V489" s="1577">
        <f t="shared" si="284"/>
        <v>0</v>
      </c>
      <c r="W489" s="694"/>
      <c r="X489" s="616"/>
      <c r="Y489" s="362">
        <f>Y488</f>
        <v>0.29774560120792604</v>
      </c>
      <c r="Z489" s="61">
        <f>Z488</f>
        <v>2.7248759458401497</v>
      </c>
      <c r="AA489" s="615">
        <f>AA488</f>
        <v>7.5969553525151945E-2</v>
      </c>
      <c r="AB489" s="61">
        <f>AB488</f>
        <v>13.163168053487649</v>
      </c>
      <c r="AC489" s="432">
        <f>AC488</f>
        <v>1.5486680387350515</v>
      </c>
      <c r="AD489" s="748">
        <f>AC489*V489*D481</f>
        <v>0</v>
      </c>
      <c r="AE489" s="720"/>
      <c r="AF489" s="741"/>
      <c r="AG489" s="733"/>
      <c r="AH489" s="892"/>
      <c r="AI489" s="733"/>
      <c r="AJ489" s="721"/>
      <c r="AK489" s="738">
        <f>AD489</f>
        <v>0</v>
      </c>
      <c r="AL489" s="721"/>
      <c r="AM489" s="721"/>
      <c r="AN489" s="721"/>
      <c r="AO489" s="721"/>
      <c r="AP489" s="721"/>
      <c r="AQ489" s="721"/>
      <c r="AR489" s="645">
        <f>V489*T481</f>
        <v>0</v>
      </c>
      <c r="AU489" s="70"/>
      <c r="AV489" s="70"/>
      <c r="AW489" s="70"/>
      <c r="AX489" s="70"/>
      <c r="AY489" s="70"/>
      <c r="AZ489" s="70"/>
      <c r="BA489" s="70"/>
    </row>
    <row r="490" spans="2:63" ht="15.75" customHeight="1" x14ac:dyDescent="0.25">
      <c r="C490" s="597"/>
      <c r="D490" s="691"/>
      <c r="E490" s="546"/>
      <c r="F490" s="1334"/>
      <c r="G490" s="1318"/>
      <c r="H490" s="827"/>
      <c r="I490" s="538"/>
      <c r="J490" s="473"/>
      <c r="K490" s="1342"/>
      <c r="L490" s="1334"/>
      <c r="M490" s="532"/>
      <c r="N490" s="372"/>
      <c r="O490" s="435"/>
      <c r="P490" s="691"/>
      <c r="Q490" s="436"/>
      <c r="R490" s="532"/>
      <c r="S490" s="436"/>
      <c r="T490" s="524"/>
      <c r="U490" s="497" t="str">
        <f t="shared" ref="U490:U500" si="286">U350</f>
        <v>ICE Syn-methanol</v>
      </c>
      <c r="V490" s="1577">
        <f t="shared" si="284"/>
        <v>0</v>
      </c>
      <c r="W490" s="517"/>
      <c r="X490" s="616"/>
      <c r="Y490" s="347">
        <f>Y488</f>
        <v>0.29774560120792604</v>
      </c>
      <c r="Z490" s="61">
        <f>Z488</f>
        <v>2.7248759458401497</v>
      </c>
      <c r="AA490" s="905">
        <f>AA488</f>
        <v>7.5969553525151945E-2</v>
      </c>
      <c r="AB490" s="61">
        <f>AB488</f>
        <v>13.163168053487649</v>
      </c>
      <c r="AC490" s="61">
        <f>AC488</f>
        <v>1.5486680387350515</v>
      </c>
      <c r="AD490" s="748">
        <f>AC490*V490*D481</f>
        <v>0</v>
      </c>
      <c r="AE490" s="720"/>
      <c r="AF490" s="733"/>
      <c r="AG490" s="733"/>
      <c r="AH490" s="722">
        <f>AD490</f>
        <v>0</v>
      </c>
      <c r="AI490" s="733"/>
      <c r="AJ490" s="721"/>
      <c r="AK490" s="721"/>
      <c r="AL490" s="721"/>
      <c r="AM490" s="721"/>
      <c r="AN490" s="721"/>
      <c r="AO490" s="721"/>
      <c r="AP490" s="721"/>
      <c r="AQ490" s="721"/>
      <c r="AR490" s="645">
        <f>V490*T481</f>
        <v>0</v>
      </c>
      <c r="AU490" s="894"/>
      <c r="AV490" s="894"/>
      <c r="AW490" s="894"/>
      <c r="AX490" s="894"/>
      <c r="AY490" s="894"/>
      <c r="AZ490" s="70"/>
      <c r="BA490" s="70"/>
    </row>
    <row r="491" spans="2:63" ht="15.75" customHeight="1" thickBot="1" x14ac:dyDescent="0.3">
      <c r="C491" s="597"/>
      <c r="D491" s="691"/>
      <c r="E491" s="546"/>
      <c r="F491" s="1334"/>
      <c r="G491" s="1318"/>
      <c r="H491" s="827"/>
      <c r="I491" s="538"/>
      <c r="J491" s="473"/>
      <c r="K491" s="1342"/>
      <c r="L491" s="1334"/>
      <c r="M491" s="532"/>
      <c r="N491" s="372"/>
      <c r="O491" s="435"/>
      <c r="P491" s="691"/>
      <c r="Q491" s="436"/>
      <c r="R491" s="532"/>
      <c r="S491" s="436"/>
      <c r="T491" s="524"/>
      <c r="U491" s="497" t="str">
        <f t="shared" si="286"/>
        <v>ICE Hybrid Syn-methanol</v>
      </c>
      <c r="V491" s="1578">
        <f t="shared" si="284"/>
        <v>0</v>
      </c>
      <c r="W491" s="517"/>
      <c r="X491" s="616"/>
      <c r="Y491" s="347">
        <f>Y487</f>
        <v>0.43456627818615728</v>
      </c>
      <c r="Z491" s="61">
        <f>Z487</f>
        <v>3.9770165990657689</v>
      </c>
      <c r="AA491" s="905">
        <f>AA487</f>
        <v>0.11087924052263215</v>
      </c>
      <c r="AB491" s="61">
        <f>AB487</f>
        <v>9.0188207935631084</v>
      </c>
      <c r="AC491" s="61">
        <f>AC487</f>
        <v>1.0610788719946191</v>
      </c>
      <c r="AD491" s="748">
        <f>AC491*V491*D481</f>
        <v>0</v>
      </c>
      <c r="AE491" s="720"/>
      <c r="AF491" s="721"/>
      <c r="AG491" s="733"/>
      <c r="AH491" s="722">
        <f>AD491</f>
        <v>0</v>
      </c>
      <c r="AI491" s="733"/>
      <c r="AJ491" s="721"/>
      <c r="AK491" s="721"/>
      <c r="AL491" s="721"/>
      <c r="AM491" s="721"/>
      <c r="AN491" s="721"/>
      <c r="AO491" s="721"/>
      <c r="AP491" s="721"/>
      <c r="AQ491" s="721"/>
      <c r="AR491" s="645">
        <f>V491*T481</f>
        <v>0</v>
      </c>
      <c r="AZ491" s="894"/>
      <c r="BA491" s="894"/>
    </row>
    <row r="492" spans="2:63" ht="15.75" customHeight="1" x14ac:dyDescent="0.25">
      <c r="C492" s="597"/>
      <c r="D492" s="695"/>
      <c r="E492" s="548"/>
      <c r="F492" s="1357"/>
      <c r="G492" s="1358"/>
      <c r="H492" s="1356"/>
      <c r="I492" s="692"/>
      <c r="J492" s="663"/>
      <c r="K492" s="1359"/>
      <c r="L492" s="1357"/>
      <c r="M492" s="705"/>
      <c r="N492" s="409"/>
      <c r="O492" s="442"/>
      <c r="P492" s="695"/>
      <c r="Q492" s="443"/>
      <c r="R492" s="695"/>
      <c r="S492" s="436"/>
      <c r="T492" s="522"/>
      <c r="U492" s="497" t="str">
        <f t="shared" si="286"/>
        <v>No shift in technology</v>
      </c>
      <c r="V492" s="412">
        <f>1-SUM(V482:V491)</f>
        <v>1</v>
      </c>
      <c r="W492" s="773">
        <f>AB492*74</f>
        <v>974.07443595808604</v>
      </c>
      <c r="X492" s="406"/>
      <c r="Y492" s="437">
        <f>Y352/$AX$6</f>
        <v>0.29774560120792604</v>
      </c>
      <c r="Z492" s="384"/>
      <c r="AA492" s="384"/>
      <c r="AB492" s="439">
        <f>L481</f>
        <v>13.163168053487649</v>
      </c>
      <c r="AC492" s="439">
        <f>K481</f>
        <v>1.5486680387350515</v>
      </c>
      <c r="AD492" s="747">
        <f>AC492*V492*D481</f>
        <v>29802.584563587698</v>
      </c>
      <c r="AE492" s="734"/>
      <c r="AF492" s="729">
        <f>+AD492*Q482</f>
        <v>28088.935951181404</v>
      </c>
      <c r="AG492" s="730"/>
      <c r="AH492" s="893"/>
      <c r="AI492" s="893"/>
      <c r="AJ492" s="730"/>
      <c r="AK492" s="907">
        <f>AD492*Q483</f>
        <v>1713.6486124062926</v>
      </c>
      <c r="AL492" s="730"/>
      <c r="AM492" s="730"/>
      <c r="AN492" s="730"/>
      <c r="AO492" s="730"/>
      <c r="AP492" s="730"/>
      <c r="AQ492" s="731"/>
      <c r="AR492" s="648">
        <f>T481-SUM(V480:V491)*T481</f>
        <v>56901.245694826415</v>
      </c>
    </row>
    <row r="493" spans="2:63" ht="15.75" customHeight="1" thickBot="1" x14ac:dyDescent="0.3">
      <c r="C493" s="593" t="str">
        <f>C353</f>
        <v>International truck</v>
      </c>
      <c r="D493" s="693">
        <f>SUM(D494:D496)</f>
        <v>13717.83497629574</v>
      </c>
      <c r="E493" s="1331">
        <f>D493/D561</f>
        <v>8.3728184941858949E-2</v>
      </c>
      <c r="F493" s="1328">
        <f>((F494*I494)+(F495*I495)+(F496*I496))/(I494+I495+I496)</f>
        <v>30.000000000000004</v>
      </c>
      <c r="G493" s="1320">
        <f>H493/F493</f>
        <v>0.54427793044376183</v>
      </c>
      <c r="H493" s="1328">
        <f>((H494*I494)+(H495*I495)+(H496*I496))/(I494+I495+I496)</f>
        <v>16.328337913312858</v>
      </c>
      <c r="I493" s="759">
        <f>D493/H493</f>
        <v>840.12439288822429</v>
      </c>
      <c r="J493" s="795">
        <f>J495+J494+J496</f>
        <v>4.3301183186767109E-2</v>
      </c>
      <c r="K493" s="1338">
        <f>L493/H493</f>
        <v>1.0547311339811933</v>
      </c>
      <c r="L493" s="1328">
        <f>((L494*I494)+(L495*I495)+(L496*I496))/(I494+I495+I496)</f>
        <v>17.222006363336583</v>
      </c>
      <c r="M493" s="693">
        <f>D493*K493</f>
        <v>14468.627640315282</v>
      </c>
      <c r="N493" s="413">
        <f>M493/M561</f>
        <v>0.11688156446377658</v>
      </c>
      <c r="O493" s="682" t="s">
        <v>60</v>
      </c>
      <c r="P493" s="759">
        <f>SUM(P494+P495)</f>
        <v>14468.627640315282</v>
      </c>
      <c r="Q493" s="801">
        <f>SUM(Q494+Q495)</f>
        <v>1</v>
      </c>
      <c r="R493" s="759">
        <f>SUM(R494+R495)</f>
        <v>13717.83497629574</v>
      </c>
      <c r="S493" s="801">
        <f>SUM(S494+S495)</f>
        <v>0.99999999999999989</v>
      </c>
      <c r="T493" s="680">
        <f>I493/I481*T481</f>
        <v>21114.065561029132</v>
      </c>
      <c r="U493" s="777" t="str">
        <f t="shared" si="286"/>
        <v>Sum</v>
      </c>
      <c r="V493" s="4"/>
      <c r="W493" s="532"/>
      <c r="X493" s="4"/>
      <c r="Y493" s="4"/>
      <c r="Z493" s="4"/>
      <c r="AA493" s="615"/>
      <c r="AB493" s="4"/>
      <c r="AC493" s="4"/>
      <c r="AD493" s="748">
        <f>SUM(AD494:AD504)</f>
        <v>14468.627640315282</v>
      </c>
      <c r="AE493" s="720"/>
      <c r="AF493" s="733"/>
      <c r="AG493" s="733"/>
      <c r="AH493" s="733"/>
      <c r="AI493" s="733"/>
      <c r="AJ493" s="721"/>
      <c r="AK493" s="721"/>
      <c r="AL493" s="721"/>
      <c r="AM493" s="721"/>
      <c r="AN493" s="721"/>
      <c r="AO493" s="721"/>
      <c r="AP493" s="721"/>
      <c r="AQ493" s="721"/>
      <c r="AR493" s="644">
        <f>SUM(AR494:AR504)</f>
        <v>21114.065561029132</v>
      </c>
    </row>
    <row r="494" spans="2:63" ht="15.75" customHeight="1" x14ac:dyDescent="0.25">
      <c r="C494" s="591" t="str">
        <f>C354</f>
        <v>&lt;250km</v>
      </c>
      <c r="D494" s="691">
        <f>((D354*(1+'Growth, Modal Shift, InfraCosts'!K52)^'Growth, Modal Shift, InfraCosts'!$L$4))</f>
        <v>486.43465605</v>
      </c>
      <c r="E494" s="546">
        <f>D494/D561</f>
        <v>2.9690028283808605E-3</v>
      </c>
      <c r="F494" s="1334">
        <v>30</v>
      </c>
      <c r="G494" s="881">
        <v>0.39400000000000002</v>
      </c>
      <c r="H494" s="827">
        <f>G494*F494</f>
        <v>11.82</v>
      </c>
      <c r="I494" s="538">
        <f>D494/H494</f>
        <v>41.153524200507611</v>
      </c>
      <c r="J494" s="473">
        <f>I494/I561</f>
        <v>2.1211100466455831E-3</v>
      </c>
      <c r="K494" s="1342">
        <f>L494/H494</f>
        <v>4.720591748878519</v>
      </c>
      <c r="L494" s="1343">
        <f>L74*$AZ$6</f>
        <v>55.797394471744099</v>
      </c>
      <c r="M494" s="532">
        <f>D494*K494</f>
        <v>2296.2594237181902</v>
      </c>
      <c r="N494" s="372">
        <f>M494/M561</f>
        <v>1.8549816923274121E-2</v>
      </c>
      <c r="O494" s="450" t="s">
        <v>3</v>
      </c>
      <c r="P494" s="532">
        <f>Q494*M493</f>
        <v>13636.681550997153</v>
      </c>
      <c r="Q494" s="436">
        <f>1-Q495</f>
        <v>0.9425</v>
      </c>
      <c r="R494" s="532">
        <f>S494*D493</f>
        <v>13018.466144240669</v>
      </c>
      <c r="S494" s="448">
        <f>Q494*Z500/(Q494*Z500+Q495*Z497)</f>
        <v>0.94901755027206747</v>
      </c>
      <c r="T494" s="525">
        <f>S494*T493</f>
        <v>20037.618775011691</v>
      </c>
      <c r="U494" s="497" t="str">
        <f t="shared" si="286"/>
        <v>Fuel cell hybrid truck Syn-methanol</v>
      </c>
      <c r="V494" s="1579">
        <f>V354</f>
        <v>0</v>
      </c>
      <c r="W494" s="532"/>
      <c r="X494" s="616"/>
      <c r="Y494" s="347">
        <f>Y440</f>
        <v>0.6</v>
      </c>
      <c r="Z494" s="411"/>
      <c r="AA494" s="615">
        <f t="shared" ref="AA494:AA500" si="287">1/AB494</f>
        <v>0.13825058072334245</v>
      </c>
      <c r="AB494" s="616">
        <f>AB354*AB504/AB364</f>
        <v>7.2332426726013628</v>
      </c>
      <c r="AC494" s="432">
        <f>AB494/H493</f>
        <v>0.4429870762721011</v>
      </c>
      <c r="AD494" s="748">
        <f>AC494*V494*D493</f>
        <v>0</v>
      </c>
      <c r="AE494" s="720"/>
      <c r="AF494" s="733"/>
      <c r="AG494" s="733"/>
      <c r="AH494" s="722">
        <f>AD494</f>
        <v>0</v>
      </c>
      <c r="AI494" s="733"/>
      <c r="AJ494" s="721"/>
      <c r="AK494" s="721"/>
      <c r="AL494" s="721"/>
      <c r="AM494" s="721"/>
      <c r="AN494" s="721"/>
      <c r="AO494" s="721"/>
      <c r="AP494" s="721"/>
      <c r="AR494" s="645">
        <f>V494*T493</f>
        <v>0</v>
      </c>
    </row>
    <row r="495" spans="2:63" ht="15.75" customHeight="1" x14ac:dyDescent="0.25">
      <c r="C495" s="591" t="str">
        <f>C355</f>
        <v>250-1000km</v>
      </c>
      <c r="D495" s="691">
        <f>((D355*(1+'Growth, Modal Shift, InfraCosts'!K53)^'Growth, Modal Shift, InfraCosts'!$L$4))</f>
        <v>5253.299321550001</v>
      </c>
      <c r="E495" s="546">
        <f>D495/D561</f>
        <v>3.2064040565419762E-2</v>
      </c>
      <c r="F495" s="1334">
        <v>30</v>
      </c>
      <c r="G495" s="882">
        <v>0.47499999999999998</v>
      </c>
      <c r="H495" s="827">
        <f>G495*F495</f>
        <v>14.25</v>
      </c>
      <c r="I495" s="538">
        <f>D495/H495</f>
        <v>368.65258396842114</v>
      </c>
      <c r="J495" s="473">
        <f>I495/I561</f>
        <v>1.9000868449745731E-2</v>
      </c>
      <c r="K495" s="1342">
        <f>L495/H495</f>
        <v>1.6315027623316987</v>
      </c>
      <c r="L495" s="1344">
        <f>L75*$AZ$6</f>
        <v>23.248914363226707</v>
      </c>
      <c r="M495" s="532">
        <f>D495*K495</f>
        <v>8570.7723544640648</v>
      </c>
      <c r="N495" s="372">
        <f>M495/M561</f>
        <v>6.9237062861534568E-2</v>
      </c>
      <c r="O495" s="917" t="s">
        <v>74</v>
      </c>
      <c r="P495" s="912">
        <f>Q495*M493</f>
        <v>831.94608931812877</v>
      </c>
      <c r="Q495" s="913">
        <f>Q355</f>
        <v>5.7500000000000002E-2</v>
      </c>
      <c r="R495" s="912">
        <f>S495*D493</f>
        <v>699.36883205507127</v>
      </c>
      <c r="S495" s="918">
        <f>Q495*Z497/(Q494*Z500+Q495*Z497)</f>
        <v>5.098244972793247E-2</v>
      </c>
      <c r="T495" s="520">
        <f>S495*T493</f>
        <v>1076.4467860174379</v>
      </c>
      <c r="U495" s="497" t="str">
        <f t="shared" si="286"/>
        <v>ICE Biogas</v>
      </c>
      <c r="V495" s="375">
        <f t="shared" ref="V495:V501" si="288">V355</f>
        <v>0</v>
      </c>
      <c r="W495" s="532"/>
      <c r="X495" s="616"/>
      <c r="Y495" s="347">
        <f>Y483</f>
        <v>0.28583577715960901</v>
      </c>
      <c r="Z495" s="411"/>
      <c r="AA495" s="615">
        <f t="shared" si="287"/>
        <v>5.5742634147651668E-2</v>
      </c>
      <c r="AB495" s="61">
        <f>AB504*Y504/Y495</f>
        <v>17.939589961808938</v>
      </c>
      <c r="AC495" s="432">
        <f>AB495/H493</f>
        <v>1.098678264563743</v>
      </c>
      <c r="AD495" s="748">
        <f>AC495*V495*D493</f>
        <v>0</v>
      </c>
      <c r="AE495" s="720"/>
      <c r="AF495" s="733"/>
      <c r="AG495" s="733"/>
      <c r="AH495" s="892"/>
      <c r="AI495" s="733"/>
      <c r="AJ495" s="741"/>
      <c r="AK495" s="741"/>
      <c r="AL495" s="722">
        <f>AD495</f>
        <v>0</v>
      </c>
      <c r="AM495" s="721"/>
      <c r="AN495" s="721"/>
      <c r="AO495" s="721"/>
      <c r="AP495" s="721"/>
      <c r="AQ495" s="721"/>
      <c r="AR495" s="645">
        <f>V495*T493</f>
        <v>0</v>
      </c>
    </row>
    <row r="496" spans="2:63" ht="15.75" customHeight="1" thickBot="1" x14ac:dyDescent="0.3">
      <c r="C496" s="591" t="str">
        <f>C356</f>
        <v>&gt;1000km</v>
      </c>
      <c r="D496" s="691">
        <f>((D356*(1+'Growth, Modal Shift, InfraCosts'!K54)^'Growth, Modal Shift, InfraCosts'!$L$4))*(1-'Growth, Modal Shift, InfraCosts'!T53)</f>
        <v>7978.1009986957397</v>
      </c>
      <c r="E496" s="546">
        <f>D496/D561</f>
        <v>4.8695141548058332E-2</v>
      </c>
      <c r="F496" s="1334">
        <v>30</v>
      </c>
      <c r="G496" s="883">
        <v>0.61799999999999999</v>
      </c>
      <c r="H496" s="827">
        <f>G496*F496</f>
        <v>18.54</v>
      </c>
      <c r="I496" s="538">
        <f>D496/H496</f>
        <v>430.3182847192956</v>
      </c>
      <c r="J496" s="473">
        <f>I496/I561</f>
        <v>2.2179204690375799E-2</v>
      </c>
      <c r="K496" s="1342">
        <f>L496/H496</f>
        <v>0.45143523035391669</v>
      </c>
      <c r="L496" s="1345">
        <f>L76*$AZ$6</f>
        <v>8.3696091707616151</v>
      </c>
      <c r="M496" s="532">
        <f>D496*K496</f>
        <v>3601.5958621330242</v>
      </c>
      <c r="N496" s="372">
        <f>M496/M561</f>
        <v>2.9094684678967867E-2</v>
      </c>
      <c r="T496" s="524"/>
      <c r="U496" s="497" t="str">
        <f t="shared" si="286"/>
        <v>ICE hybrid vehicle Biogas</v>
      </c>
      <c r="V496" s="375">
        <f t="shared" si="288"/>
        <v>0</v>
      </c>
      <c r="W496" s="532"/>
      <c r="X496" s="616"/>
      <c r="Y496" s="1631">
        <f>Y495*(Y358/Y357)</f>
        <v>0.41718362705871098</v>
      </c>
      <c r="Z496" s="411"/>
      <c r="AA496" s="615">
        <f t="shared" si="287"/>
        <v>8.1357605148702827E-2</v>
      </c>
      <c r="AB496" s="61">
        <f>AB504*Y504/Y496</f>
        <v>12.291413914805284</v>
      </c>
      <c r="AC496" s="432">
        <f>AB496/H493</f>
        <v>0.75276577322568883</v>
      </c>
      <c r="AD496" s="748">
        <f>AC496*V496*D493</f>
        <v>0</v>
      </c>
      <c r="AE496" s="720"/>
      <c r="AF496" s="733"/>
      <c r="AG496" s="733"/>
      <c r="AH496" s="892"/>
      <c r="AI496" s="733"/>
      <c r="AJ496" s="741"/>
      <c r="AK496" s="741"/>
      <c r="AL496" s="722">
        <f>AD496</f>
        <v>0</v>
      </c>
      <c r="AM496" s="721"/>
      <c r="AN496" s="721"/>
      <c r="AO496" s="721"/>
      <c r="AP496" s="721"/>
      <c r="AQ496" s="721"/>
      <c r="AR496" s="645">
        <f>V496*T493</f>
        <v>0</v>
      </c>
    </row>
    <row r="497" spans="3:44" ht="15.75" customHeight="1" x14ac:dyDescent="0.25">
      <c r="C497" s="591"/>
      <c r="D497" s="691"/>
      <c r="E497" s="546"/>
      <c r="F497" s="1334"/>
      <c r="G497" s="381"/>
      <c r="H497" s="827"/>
      <c r="I497" s="538"/>
      <c r="J497" s="473"/>
      <c r="K497" s="1342"/>
      <c r="L497" s="1334"/>
      <c r="M497" s="532"/>
      <c r="N497" s="372"/>
      <c r="T497" s="524"/>
      <c r="U497" s="497" t="str">
        <f t="shared" si="286"/>
        <v>ICE Bio-methanol</v>
      </c>
      <c r="V497" s="375">
        <f t="shared" si="288"/>
        <v>0</v>
      </c>
      <c r="W497" s="694"/>
      <c r="X497" s="616"/>
      <c r="Y497" s="1631">
        <f>Y500</f>
        <v>0.29774560120792604</v>
      </c>
      <c r="Z497" s="61">
        <f>1/((AB497/37600)/0.84*1000)</f>
        <v>1.83393266345774</v>
      </c>
      <c r="AA497" s="615">
        <f t="shared" si="287"/>
        <v>5.8065243903803812E-2</v>
      </c>
      <c r="AB497" s="61">
        <f>AB504</f>
        <v>17.222006363336583</v>
      </c>
      <c r="AC497" s="432">
        <f>AB497/H493</f>
        <v>1.0547311339811933</v>
      </c>
      <c r="AD497" s="748">
        <f>AC497*V497*D493</f>
        <v>0</v>
      </c>
      <c r="AE497" s="720"/>
      <c r="AF497" s="733"/>
      <c r="AG497" s="733"/>
      <c r="AH497" s="892"/>
      <c r="AI497" s="722">
        <f>+AD497</f>
        <v>0</v>
      </c>
      <c r="AJ497" s="721"/>
      <c r="AK497" s="721"/>
      <c r="AL497" s="721"/>
      <c r="AM497" s="721"/>
      <c r="AN497" s="721"/>
      <c r="AO497" s="721"/>
      <c r="AP497" s="721"/>
      <c r="AQ497" s="721"/>
      <c r="AR497" s="645">
        <f>V497*T493</f>
        <v>0</v>
      </c>
    </row>
    <row r="498" spans="3:44" ht="15.75" customHeight="1" x14ac:dyDescent="0.25">
      <c r="C498" s="591"/>
      <c r="D498" s="691"/>
      <c r="E498" s="546"/>
      <c r="F498" s="1334"/>
      <c r="G498" s="381"/>
      <c r="H498" s="827"/>
      <c r="I498" s="538"/>
      <c r="J498" s="473"/>
      <c r="K498" s="1342"/>
      <c r="L498" s="1334"/>
      <c r="M498" s="532"/>
      <c r="N498" s="372"/>
      <c r="O498" s="435"/>
      <c r="P498" s="691"/>
      <c r="Q498" s="436"/>
      <c r="R498" s="691"/>
      <c r="S498" s="436"/>
      <c r="T498" s="521"/>
      <c r="U498" s="497" t="str">
        <f t="shared" si="286"/>
        <v>ICE hybrid vehicle Bio-methanol</v>
      </c>
      <c r="V498" s="375">
        <f t="shared" si="288"/>
        <v>0</v>
      </c>
      <c r="W498" s="694"/>
      <c r="X498" s="616"/>
      <c r="Y498" s="1631">
        <f>Y497*(Y358/Y357)</f>
        <v>0.43456627818615728</v>
      </c>
      <c r="Z498" s="61">
        <f>1/((AB498/37600)/0.84*1000)</f>
        <v>2.6766652093923233</v>
      </c>
      <c r="AA498" s="615">
        <f t="shared" si="287"/>
        <v>8.4747505363232112E-2</v>
      </c>
      <c r="AB498" s="616">
        <f>AB504*Y504/Y498</f>
        <v>11.799757358213073</v>
      </c>
      <c r="AC498" s="432">
        <f>AB498/H493</f>
        <v>0.72265514229666128</v>
      </c>
      <c r="AD498" s="748">
        <f>AC498*V498*D493</f>
        <v>0</v>
      </c>
      <c r="AE498" s="720"/>
      <c r="AF498" s="733"/>
      <c r="AG498" s="733"/>
      <c r="AH498" s="892"/>
      <c r="AI498" s="722">
        <f>+AD498</f>
        <v>0</v>
      </c>
      <c r="AJ498" s="721"/>
      <c r="AK498" s="721"/>
      <c r="AL498" s="721"/>
      <c r="AM498" s="721"/>
      <c r="AN498" s="721"/>
      <c r="AO498" s="721"/>
      <c r="AP498" s="721"/>
      <c r="AQ498" s="721"/>
      <c r="AR498" s="645">
        <f>V498*T493</f>
        <v>0</v>
      </c>
    </row>
    <row r="499" spans="3:44" ht="15.75" customHeight="1" x14ac:dyDescent="0.25">
      <c r="C499" s="591"/>
      <c r="D499" s="691"/>
      <c r="E499" s="546"/>
      <c r="F499" s="1334"/>
      <c r="G499" s="381"/>
      <c r="H499" s="827"/>
      <c r="I499" s="538"/>
      <c r="J499" s="473"/>
      <c r="K499" s="1342"/>
      <c r="L499" s="1334"/>
      <c r="M499" s="532"/>
      <c r="N499" s="372"/>
      <c r="O499" s="435"/>
      <c r="P499" s="691"/>
      <c r="Q499" s="436"/>
      <c r="R499" s="691"/>
      <c r="S499" s="436"/>
      <c r="T499" s="521"/>
      <c r="U499" s="1555" t="str">
        <f t="shared" si="286"/>
        <v>ICE Diesel Hybrid</v>
      </c>
      <c r="V499" s="375">
        <f t="shared" si="288"/>
        <v>0</v>
      </c>
      <c r="W499" s="694">
        <f>AB499*74</f>
        <v>873.18204450776739</v>
      </c>
      <c r="X499" s="616"/>
      <c r="Y499" s="347">
        <f>Y498</f>
        <v>0.43456627818615728</v>
      </c>
      <c r="Z499" s="61">
        <f>1/((AB499/42700)/0.84*1000)</f>
        <v>3.0397235223684089</v>
      </c>
      <c r="AA499" s="615">
        <f t="shared" si="287"/>
        <v>8.4747505363232112E-2</v>
      </c>
      <c r="AB499" s="61">
        <f>AB498</f>
        <v>11.799757358213073</v>
      </c>
      <c r="AC499" s="432">
        <f>AB499/H493</f>
        <v>0.72265514229666128</v>
      </c>
      <c r="AD499" s="748">
        <f>AC499*V499*D493</f>
        <v>0</v>
      </c>
      <c r="AE499" s="720"/>
      <c r="AF499" s="722">
        <f>AD499</f>
        <v>0</v>
      </c>
      <c r="AG499" s="733"/>
      <c r="AH499" s="892"/>
      <c r="AI499" s="733"/>
      <c r="AJ499" s="721"/>
      <c r="AK499" s="721"/>
      <c r="AL499" s="721"/>
      <c r="AM499" s="721"/>
      <c r="AN499" s="721"/>
      <c r="AO499" s="721"/>
      <c r="AP499" s="721"/>
      <c r="AQ499" s="721"/>
      <c r="AR499" s="645">
        <f>V499*T493</f>
        <v>0</v>
      </c>
    </row>
    <row r="500" spans="3:44" ht="15.75" customHeight="1" x14ac:dyDescent="0.25">
      <c r="C500" s="591"/>
      <c r="D500" s="691"/>
      <c r="E500" s="546"/>
      <c r="F500" s="1334"/>
      <c r="G500" s="381"/>
      <c r="H500" s="827"/>
      <c r="I500" s="538"/>
      <c r="J500" s="473"/>
      <c r="K500" s="1342"/>
      <c r="L500" s="1334"/>
      <c r="M500" s="532"/>
      <c r="N500" s="372"/>
      <c r="O500" s="435"/>
      <c r="P500" s="691"/>
      <c r="Q500" s="436"/>
      <c r="R500" s="691"/>
      <c r="S500" s="436"/>
      <c r="T500" s="521"/>
      <c r="U500" s="497" t="str">
        <f t="shared" si="286"/>
        <v>ICE Diesel</v>
      </c>
      <c r="V500" s="375">
        <f t="shared" si="288"/>
        <v>0</v>
      </c>
      <c r="W500" s="694">
        <f>AB500*74</f>
        <v>1274.428470886907</v>
      </c>
      <c r="X500" s="616"/>
      <c r="Y500" s="347">
        <f>Y504</f>
        <v>0.29774560120792604</v>
      </c>
      <c r="Z500" s="61">
        <f>1/((AB500/42700)/0.84*1000)</f>
        <v>2.0826841683416353</v>
      </c>
      <c r="AA500" s="615">
        <f t="shared" si="287"/>
        <v>5.8065243903803812E-2</v>
      </c>
      <c r="AB500" s="61">
        <f>AB504</f>
        <v>17.222006363336583</v>
      </c>
      <c r="AC500" s="432">
        <f>AB500/H493</f>
        <v>1.0547311339811933</v>
      </c>
      <c r="AD500" s="748">
        <f>AC500*V500*D493</f>
        <v>0</v>
      </c>
      <c r="AE500" s="720"/>
      <c r="AF500" s="722">
        <f>AD500</f>
        <v>0</v>
      </c>
      <c r="AG500" s="733"/>
      <c r="AH500" s="733"/>
      <c r="AI500" s="733"/>
      <c r="AJ500" s="721"/>
      <c r="AK500" s="721"/>
      <c r="AL500" s="721"/>
      <c r="AM500" s="721"/>
      <c r="AN500" s="721"/>
      <c r="AO500" s="721"/>
      <c r="AP500" s="721"/>
      <c r="AQ500" s="721"/>
      <c r="AR500" s="645">
        <f>V500*T493</f>
        <v>0</v>
      </c>
    </row>
    <row r="501" spans="3:44" ht="15.75" customHeight="1" x14ac:dyDescent="0.25">
      <c r="C501" s="591"/>
      <c r="D501" s="691"/>
      <c r="E501" s="546"/>
      <c r="F501" s="1334"/>
      <c r="G501" s="381"/>
      <c r="H501" s="827"/>
      <c r="I501" s="538"/>
      <c r="J501" s="473"/>
      <c r="K501" s="1342"/>
      <c r="L501" s="1334"/>
      <c r="M501" s="532"/>
      <c r="N501" s="372"/>
      <c r="O501" s="435"/>
      <c r="P501" s="691"/>
      <c r="Q501" s="436"/>
      <c r="R501" s="691"/>
      <c r="S501" s="436"/>
      <c r="T501" s="521"/>
      <c r="U501" s="1555" t="s">
        <v>483</v>
      </c>
      <c r="V501" s="375">
        <f t="shared" si="288"/>
        <v>0</v>
      </c>
      <c r="W501" s="694"/>
      <c r="X501" s="616"/>
      <c r="Y501" s="347">
        <f>Y500</f>
        <v>0.29774560120792604</v>
      </c>
      <c r="Z501" s="61">
        <f>Z500</f>
        <v>2.0826841683416353</v>
      </c>
      <c r="AA501" s="615">
        <f>AA500</f>
        <v>5.8065243903803812E-2</v>
      </c>
      <c r="AB501" s="61">
        <f>AB500</f>
        <v>17.222006363336583</v>
      </c>
      <c r="AC501" s="432">
        <f>AC500</f>
        <v>1.0547311339811933</v>
      </c>
      <c r="AD501" s="748">
        <f>AC501*V501*D493</f>
        <v>0</v>
      </c>
      <c r="AE501" s="720"/>
      <c r="AF501" s="741"/>
      <c r="AG501" s="733"/>
      <c r="AH501" s="892"/>
      <c r="AI501" s="733"/>
      <c r="AJ501" s="721"/>
      <c r="AK501" s="738">
        <f>AD501</f>
        <v>0</v>
      </c>
      <c r="AL501" s="721"/>
      <c r="AM501" s="721"/>
      <c r="AN501" s="721"/>
      <c r="AO501" s="721"/>
      <c r="AP501" s="721"/>
      <c r="AQ501" s="721"/>
      <c r="AR501" s="645">
        <f>V501*T493</f>
        <v>0</v>
      </c>
    </row>
    <row r="502" spans="3:44" ht="15.75" customHeight="1" x14ac:dyDescent="0.25">
      <c r="C502" s="591"/>
      <c r="D502" s="691"/>
      <c r="E502" s="546"/>
      <c r="F502" s="1334"/>
      <c r="G502" s="381"/>
      <c r="H502" s="827"/>
      <c r="I502" s="538"/>
      <c r="J502" s="473"/>
      <c r="K502" s="1342"/>
      <c r="L502" s="1334"/>
      <c r="M502" s="532"/>
      <c r="N502" s="372"/>
      <c r="O502" s="435"/>
      <c r="P502" s="691"/>
      <c r="Q502" s="436"/>
      <c r="R502" s="691"/>
      <c r="S502" s="436"/>
      <c r="T502" s="524"/>
      <c r="U502" s="497" t="str">
        <f t="shared" ref="U502:U509" si="289">U362</f>
        <v>ICE Syn-methanol</v>
      </c>
      <c r="V502" s="1577">
        <f>V362</f>
        <v>0</v>
      </c>
      <c r="W502" s="517"/>
      <c r="X502" s="616"/>
      <c r="Y502" s="347">
        <f>Y500</f>
        <v>0.29774560120792604</v>
      </c>
      <c r="Z502" s="61">
        <f>Z500</f>
        <v>2.0826841683416353</v>
      </c>
      <c r="AA502" s="905">
        <f>AA500</f>
        <v>5.8065243903803812E-2</v>
      </c>
      <c r="AB502" s="61">
        <f>AB500</f>
        <v>17.222006363336583</v>
      </c>
      <c r="AC502" s="61">
        <f>AC500</f>
        <v>1.0547311339811933</v>
      </c>
      <c r="AD502" s="748">
        <f>AC502*V502*D493</f>
        <v>0</v>
      </c>
      <c r="AE502" s="720"/>
      <c r="AF502" s="733"/>
      <c r="AG502" s="733"/>
      <c r="AH502" s="722">
        <f>AD502</f>
        <v>0</v>
      </c>
      <c r="AI502" s="733"/>
      <c r="AJ502" s="721"/>
      <c r="AK502" s="721"/>
      <c r="AL502" s="721"/>
      <c r="AM502" s="721"/>
      <c r="AN502" s="721"/>
      <c r="AO502" s="721"/>
      <c r="AP502" s="721"/>
      <c r="AQ502" s="721"/>
      <c r="AR502" s="645">
        <f>V502*T493</f>
        <v>0</v>
      </c>
    </row>
    <row r="503" spans="3:44" ht="15.75" customHeight="1" thickBot="1" x14ac:dyDescent="0.3">
      <c r="C503" s="591"/>
      <c r="D503" s="691"/>
      <c r="E503" s="546"/>
      <c r="F503" s="1334"/>
      <c r="G503" s="381"/>
      <c r="H503" s="827"/>
      <c r="I503" s="538"/>
      <c r="J503" s="473"/>
      <c r="K503" s="1342"/>
      <c r="L503" s="1334"/>
      <c r="M503" s="532"/>
      <c r="N503" s="372"/>
      <c r="O503" s="435"/>
      <c r="P503" s="691"/>
      <c r="Q503" s="436"/>
      <c r="R503" s="691"/>
      <c r="S503" s="436"/>
      <c r="T503" s="524"/>
      <c r="U503" s="497" t="str">
        <f t="shared" si="289"/>
        <v>ICE Hybrid Syn-methanol</v>
      </c>
      <c r="V503" s="295">
        <f>V363</f>
        <v>0</v>
      </c>
      <c r="W503" s="517"/>
      <c r="X503" s="616"/>
      <c r="Y503" s="347">
        <f>Y499</f>
        <v>0.43456627818615728</v>
      </c>
      <c r="Z503" s="61">
        <f>Z499</f>
        <v>3.0397235223684089</v>
      </c>
      <c r="AA503" s="905">
        <f>AA499</f>
        <v>8.4747505363232112E-2</v>
      </c>
      <c r="AB503" s="61">
        <f>AB499</f>
        <v>11.799757358213073</v>
      </c>
      <c r="AC503" s="61">
        <f>AC499</f>
        <v>0.72265514229666128</v>
      </c>
      <c r="AD503" s="748">
        <f>AC503*V503*D493</f>
        <v>0</v>
      </c>
      <c r="AE503" s="720"/>
      <c r="AF503" s="721"/>
      <c r="AG503" s="733"/>
      <c r="AH503" s="722">
        <f>AD503</f>
        <v>0</v>
      </c>
      <c r="AI503" s="733"/>
      <c r="AJ503" s="721"/>
      <c r="AK503" s="721"/>
      <c r="AL503" s="721"/>
      <c r="AM503" s="721"/>
      <c r="AN503" s="721"/>
      <c r="AO503" s="721"/>
      <c r="AP503" s="721"/>
      <c r="AQ503" s="723"/>
      <c r="AR503" s="645">
        <f>V503*T493</f>
        <v>0</v>
      </c>
    </row>
    <row r="504" spans="3:44" ht="15.75" customHeight="1" thickBot="1" x14ac:dyDescent="0.3">
      <c r="C504" s="591"/>
      <c r="D504" s="691"/>
      <c r="E504" s="548"/>
      <c r="F504" s="1357"/>
      <c r="G504" s="665"/>
      <c r="H504" s="1356"/>
      <c r="I504" s="692"/>
      <c r="J504" s="663"/>
      <c r="K504" s="1359"/>
      <c r="L504" s="1357"/>
      <c r="M504" s="705"/>
      <c r="N504" s="409"/>
      <c r="O504" s="442"/>
      <c r="P504" s="695"/>
      <c r="Q504" s="443"/>
      <c r="R504" s="695"/>
      <c r="S504" s="443"/>
      <c r="T504" s="523"/>
      <c r="U504" s="497" t="str">
        <f t="shared" si="289"/>
        <v>No shift in technology</v>
      </c>
      <c r="V504" s="412">
        <f>1-SUM(V494:V503)</f>
        <v>1</v>
      </c>
      <c r="W504" s="532">
        <f>AB504*74</f>
        <v>1274.428470886907</v>
      </c>
      <c r="X504" s="411"/>
      <c r="Y504" s="362">
        <f>Y492</f>
        <v>0.29774560120792604</v>
      </c>
      <c r="Z504" s="4"/>
      <c r="AA504" s="4"/>
      <c r="AB504" s="432">
        <f>L493</f>
        <v>17.222006363336583</v>
      </c>
      <c r="AC504" s="432">
        <f>K493</f>
        <v>1.0547311339811933</v>
      </c>
      <c r="AD504" s="747">
        <f>AC504*V504*D493</f>
        <v>14468.627640315282</v>
      </c>
      <c r="AE504" s="734"/>
      <c r="AF504" s="729">
        <f>+AD504*Q494</f>
        <v>13636.681550997153</v>
      </c>
      <c r="AG504" s="730"/>
      <c r="AH504" s="893"/>
      <c r="AI504" s="893"/>
      <c r="AJ504" s="730"/>
      <c r="AK504" s="907">
        <f>AD504*Q495</f>
        <v>831.94608931812877</v>
      </c>
      <c r="AL504" s="730"/>
      <c r="AM504" s="730"/>
      <c r="AN504" s="730"/>
      <c r="AO504" s="730"/>
      <c r="AP504" s="730"/>
      <c r="AQ504" s="731"/>
      <c r="AR504" s="648">
        <f>T493-SUM(V494:V503)*T493</f>
        <v>21114.065561029132</v>
      </c>
    </row>
    <row r="505" spans="3:44" ht="15.75" customHeight="1" thickBot="1" x14ac:dyDescent="0.3">
      <c r="C505" s="593" t="str">
        <f>C365</f>
        <v>Vans (2-6 t)</v>
      </c>
      <c r="D505" s="693">
        <f>D506+D507</f>
        <v>7801.7585955416707</v>
      </c>
      <c r="E505" s="1331">
        <f>D505/D561</f>
        <v>4.7618817961290506E-2</v>
      </c>
      <c r="F505" s="1328">
        <f>((F506*I506)+(F507*I507)+(F508*I508))/(I506+I507+I508)</f>
        <v>1</v>
      </c>
      <c r="G505" s="1320">
        <f>H505/F505</f>
        <v>0.48</v>
      </c>
      <c r="H505" s="1328">
        <f>((H506*I506)+(H507*I507)+(H508*I508))/(I506+I507+I508)</f>
        <v>0.48</v>
      </c>
      <c r="I505" s="759">
        <f>D505/H505</f>
        <v>16253.663740711814</v>
      </c>
      <c r="J505" s="795">
        <f>J507+J506+J508</f>
        <v>0.83773650313033476</v>
      </c>
      <c r="K505" s="1338">
        <f>L505/H505</f>
        <v>6.8915885501668352</v>
      </c>
      <c r="L505" s="1328">
        <f>((L506*I506)+(L507*I507)+(L508*I508))/(I506+I507+I508)</f>
        <v>3.3079625040800806</v>
      </c>
      <c r="M505" s="693">
        <f>D505*K505</f>
        <v>53766.510208200671</v>
      </c>
      <c r="N505" s="413">
        <f>M505/M561</f>
        <v>0.43434069803424485</v>
      </c>
      <c r="O505" s="682" t="s">
        <v>60</v>
      </c>
      <c r="P505" s="759">
        <f>SUM(P506:P509)</f>
        <v>53766.510208200671</v>
      </c>
      <c r="Q505" s="801">
        <f>SUM(Q506:Q509)</f>
        <v>1</v>
      </c>
      <c r="R505" s="759">
        <f>SUM(R506:R509)</f>
        <v>7801.7585955416707</v>
      </c>
      <c r="S505" s="801">
        <f>SUM(S506:S509)</f>
        <v>1.0000000000000002</v>
      </c>
      <c r="T505" s="680">
        <f>T365*(D505/D365)/(1.01^10)</f>
        <v>659749.59163159342</v>
      </c>
      <c r="U505" s="1556" t="str">
        <f t="shared" si="289"/>
        <v xml:space="preserve">Sum </v>
      </c>
      <c r="V505" s="619"/>
      <c r="W505" s="762"/>
      <c r="X505" s="447"/>
      <c r="Y505" s="619"/>
      <c r="Z505" s="447"/>
      <c r="AA505" s="447"/>
      <c r="AB505" s="447"/>
      <c r="AC505" s="447"/>
      <c r="AD505" s="748">
        <f>SUM(AD506:AD522)</f>
        <v>53766.510208200671</v>
      </c>
      <c r="AE505" s="716"/>
      <c r="AF505" s="717"/>
      <c r="AG505" s="717"/>
      <c r="AH505" s="717"/>
      <c r="AI505" s="717"/>
      <c r="AJ505" s="718"/>
      <c r="AK505" s="718"/>
      <c r="AL505" s="718"/>
      <c r="AM505" s="718"/>
      <c r="AN505" s="718"/>
      <c r="AO505" s="718"/>
      <c r="AP505" s="717"/>
      <c r="AQ505" s="719"/>
      <c r="AR505" s="644">
        <f>SUM(AR506:AR522)</f>
        <v>659749.59163159342</v>
      </c>
    </row>
    <row r="506" spans="3:44" ht="15.75" x14ac:dyDescent="0.25">
      <c r="C506" s="591" t="str">
        <f>C366</f>
        <v>&lt;50km</v>
      </c>
      <c r="D506" s="532">
        <f>((D366*(1+'Growth, Modal Shift, InfraCosts'!K56)^'Growth, Modal Shift, InfraCosts'!$L$4))</f>
        <v>2642.4556363099632</v>
      </c>
      <c r="E506" s="546">
        <f>D506/D561</f>
        <v>1.6128493643489093E-2</v>
      </c>
      <c r="F506" s="1334">
        <v>1</v>
      </c>
      <c r="G506" s="425">
        <v>0.48</v>
      </c>
      <c r="H506" s="827">
        <f>G506*F506</f>
        <v>0.48</v>
      </c>
      <c r="I506" s="538">
        <f>D506/H506</f>
        <v>5505.1159089790899</v>
      </c>
      <c r="J506" s="473">
        <f>I506/I561</f>
        <v>0.28374135361024433</v>
      </c>
      <c r="K506" s="1342">
        <f>L506/H506</f>
        <v>6.8915885501668352</v>
      </c>
      <c r="L506" s="1343">
        <f>L86*$AZ$9</f>
        <v>3.3079625040800806</v>
      </c>
      <c r="M506" s="691">
        <f>D506*K506</f>
        <v>18210.71700751756</v>
      </c>
      <c r="N506" s="367">
        <f>M506/M561</f>
        <v>0.14711119442419868</v>
      </c>
      <c r="O506" s="450" t="s">
        <v>3</v>
      </c>
      <c r="P506" s="532">
        <f>Q506*M505</f>
        <v>49072.372941231493</v>
      </c>
      <c r="Q506" s="358">
        <f>Q366</f>
        <v>0.91269403112100789</v>
      </c>
      <c r="R506" s="532">
        <f>S506*D505</f>
        <v>7269.1785706285427</v>
      </c>
      <c r="S506" s="448">
        <f>(Q506*Z507)/(Q506*Z507+Q507*Z511+Q508*Z512+Q509*Z513)</f>
        <v>0.93173590051639488</v>
      </c>
      <c r="T506" s="525">
        <f>S506*T505</f>
        <v>614712.37987418647</v>
      </c>
      <c r="U506" s="497" t="str">
        <f t="shared" si="289"/>
        <v>Battery electric vehicles</v>
      </c>
      <c r="V506" s="1579">
        <f>V366</f>
        <v>0</v>
      </c>
      <c r="W506" s="694"/>
      <c r="X506" s="61"/>
      <c r="Y506" s="347">
        <f>Y427</f>
        <v>0.9</v>
      </c>
      <c r="Z506" s="61"/>
      <c r="AA506" s="61">
        <f t="shared" ref="AA506:AA514" si="290">1/AB506</f>
        <v>1.3641931120562953</v>
      </c>
      <c r="AB506" s="61">
        <f>AB366</f>
        <v>0.73303404859790378</v>
      </c>
      <c r="AC506" s="61">
        <f>AC522/Y506*Y522</f>
        <v>1.5701087669407361</v>
      </c>
      <c r="AD506" s="752">
        <f>AC506*V506*D505</f>
        <v>0</v>
      </c>
      <c r="AE506" s="720"/>
      <c r="AF506" s="721"/>
      <c r="AG506" s="721"/>
      <c r="AH506" s="721"/>
      <c r="AI506" s="721"/>
      <c r="AJ506" s="721"/>
      <c r="AK506" s="721"/>
      <c r="AL506" s="721"/>
      <c r="AM506" s="721"/>
      <c r="AN506" s="722">
        <f>AD506</f>
        <v>0</v>
      </c>
      <c r="AO506" s="721"/>
      <c r="AP506" s="721"/>
      <c r="AQ506" s="723"/>
      <c r="AR506" s="645">
        <f>V506*T505</f>
        <v>0</v>
      </c>
    </row>
    <row r="507" spans="3:44" ht="15.75" customHeight="1" thickBot="1" x14ac:dyDescent="0.3">
      <c r="C507" s="591" t="str">
        <f>C367</f>
        <v>&gt;50km</v>
      </c>
      <c r="D507" s="532">
        <f>((D367*(1+'Growth, Modal Shift, InfraCosts'!K57)^'Growth, Modal Shift, InfraCosts'!$L$4))</f>
        <v>5159.3029592317071</v>
      </c>
      <c r="E507" s="546">
        <f>D507/D561</f>
        <v>3.1490324317801417E-2</v>
      </c>
      <c r="F507" s="1334">
        <v>1</v>
      </c>
      <c r="G507" s="426">
        <v>0.48</v>
      </c>
      <c r="H507" s="827">
        <f>G507*F507</f>
        <v>0.48</v>
      </c>
      <c r="I507" s="538">
        <f>D507/H507</f>
        <v>10748.547831732723</v>
      </c>
      <c r="J507" s="473">
        <f>I507/I561</f>
        <v>0.55399514952009044</v>
      </c>
      <c r="K507" s="1342">
        <f>L507/H507</f>
        <v>6.8915885501668352</v>
      </c>
      <c r="L507" s="1345">
        <f>L87*$AZ$9</f>
        <v>3.3079625040800806</v>
      </c>
      <c r="M507" s="691">
        <f>D507*K507</f>
        <v>35555.793200683103</v>
      </c>
      <c r="N507" s="367">
        <f>M507/M561</f>
        <v>0.28722950361004612</v>
      </c>
      <c r="O507" s="357" t="s">
        <v>41</v>
      </c>
      <c r="P507" s="694">
        <f>Q507*M505</f>
        <v>1602.562929997641</v>
      </c>
      <c r="Q507" s="358">
        <f>Q367</f>
        <v>2.9805968878992114E-2</v>
      </c>
      <c r="R507" s="694">
        <f>S507*D505</f>
        <v>204.37107877935202</v>
      </c>
      <c r="S507" s="448">
        <f>(Q507*Z511)/(Q506*Z507+Q507*Z511+Q508*Z512+Q509*Z513)</f>
        <v>2.619551429034734E-2</v>
      </c>
      <c r="T507" s="520">
        <f>S507*T505</f>
        <v>17282.479855636226</v>
      </c>
      <c r="U507" s="497" t="str">
        <f t="shared" si="289"/>
        <v>ICE Diesel</v>
      </c>
      <c r="V507" s="1577">
        <f>V367</f>
        <v>0</v>
      </c>
      <c r="W507" s="694">
        <f>AB507*74</f>
        <v>200.77294824624579</v>
      </c>
      <c r="X507" s="61"/>
      <c r="Y507" s="347">
        <f>Y428</f>
        <v>0.25</v>
      </c>
      <c r="Z507" s="61">
        <f>1/((AB507/42700)/0.84*1000)</f>
        <v>13.220067858666964</v>
      </c>
      <c r="AA507" s="61">
        <f>1/AB507</f>
        <v>0.36857555087172311</v>
      </c>
      <c r="AB507" s="628">
        <f>AB522/Y507*Y522</f>
        <v>2.7131479492735919</v>
      </c>
      <c r="AC507" s="61">
        <f>AC522/Y507*Y522</f>
        <v>5.6523915609866506</v>
      </c>
      <c r="AD507" s="752">
        <f>AC507*V507*D505</f>
        <v>0</v>
      </c>
      <c r="AE507" s="725"/>
      <c r="AF507" s="722">
        <f>AD507</f>
        <v>0</v>
      </c>
      <c r="AG507" s="721"/>
      <c r="AH507" s="721"/>
      <c r="AI507" s="721"/>
      <c r="AJ507" s="721"/>
      <c r="AK507" s="721"/>
      <c r="AL507" s="721"/>
      <c r="AM507" s="721"/>
      <c r="AN507" s="721"/>
      <c r="AO507" s="721"/>
      <c r="AP507" s="721"/>
      <c r="AQ507" s="723"/>
      <c r="AR507" s="645">
        <f>V507*T505</f>
        <v>0</v>
      </c>
    </row>
    <row r="508" spans="3:44" ht="15.75" customHeight="1" x14ac:dyDescent="0.25">
      <c r="C508" s="591"/>
      <c r="D508" s="532"/>
      <c r="E508" s="546"/>
      <c r="F508" s="364"/>
      <c r="G508" s="473"/>
      <c r="H508" s="827"/>
      <c r="I508" s="538"/>
      <c r="J508" s="473"/>
      <c r="K508" s="1342"/>
      <c r="L508" s="1334"/>
      <c r="M508" s="691"/>
      <c r="N508" s="367"/>
      <c r="O508" s="911" t="s">
        <v>43</v>
      </c>
      <c r="P508" s="912">
        <f>Q508*M505</f>
        <v>1545.7871684857694</v>
      </c>
      <c r="Q508" s="913">
        <f>Q368</f>
        <v>2.8750000000000001E-2</v>
      </c>
      <c r="R508" s="912">
        <f>S508*D505</f>
        <v>126.57764797688455</v>
      </c>
      <c r="S508" s="918">
        <f>Q508*Z512/(Q506*Z507+Q507*Z511+Q508*Z512+Q509*Z513)</f>
        <v>1.6224245652668307E-2</v>
      </c>
      <c r="T508" s="520">
        <f>S508*T505</f>
        <v>10703.939443878569</v>
      </c>
      <c r="U508" s="497" t="str">
        <f t="shared" si="289"/>
        <v>ICE hybrid vehicle Diesel</v>
      </c>
      <c r="V508" s="1577">
        <f>V368</f>
        <v>0</v>
      </c>
      <c r="W508" s="694">
        <f>AB508*74</f>
        <v>150.52344431225768</v>
      </c>
      <c r="X508" s="61"/>
      <c r="Y508" s="347">
        <f>Y429</f>
        <v>0.33345793601053042</v>
      </c>
      <c r="Z508" s="61">
        <f>1/((AB508/42700)/0.84*1000)</f>
        <v>17.633346168280951</v>
      </c>
      <c r="AA508" s="61">
        <f>1/AB508</f>
        <v>0.49161776983051608</v>
      </c>
      <c r="AB508" s="61">
        <f>AB522/Y508*Y522</f>
        <v>2.0341005988142928</v>
      </c>
      <c r="AC508" s="61">
        <f>AC522/Y508*Y522</f>
        <v>4.2377095808631102</v>
      </c>
      <c r="AD508" s="752">
        <f>AC508*V508*D505</f>
        <v>0</v>
      </c>
      <c r="AE508" s="720"/>
      <c r="AF508" s="722">
        <f>AD508</f>
        <v>0</v>
      </c>
      <c r="AG508" s="721"/>
      <c r="AH508" s="721"/>
      <c r="AI508" s="721"/>
      <c r="AJ508" s="721"/>
      <c r="AK508" s="721"/>
      <c r="AL508" s="721"/>
      <c r="AM508" s="721"/>
      <c r="AN508" s="721"/>
      <c r="AO508" s="721"/>
      <c r="AP508" s="721"/>
      <c r="AQ508" s="723"/>
      <c r="AR508" s="645">
        <f>V508*T505</f>
        <v>0</v>
      </c>
    </row>
    <row r="509" spans="3:44" ht="15.75" customHeight="1" x14ac:dyDescent="0.25">
      <c r="C509" s="591"/>
      <c r="D509" s="532"/>
      <c r="E509" s="546"/>
      <c r="F509" s="364"/>
      <c r="G509" s="473"/>
      <c r="H509" s="827"/>
      <c r="I509" s="538"/>
      <c r="J509" s="473"/>
      <c r="K509" s="1342"/>
      <c r="L509" s="1334"/>
      <c r="M509" s="691"/>
      <c r="N509" s="367"/>
      <c r="O509" s="911" t="s">
        <v>74</v>
      </c>
      <c r="P509" s="912">
        <f>Q509*M505</f>
        <v>1545.7871684857694</v>
      </c>
      <c r="Q509" s="913">
        <f>Q369</f>
        <v>2.8750000000000001E-2</v>
      </c>
      <c r="R509" s="912">
        <f>S509*D505</f>
        <v>201.63129815689192</v>
      </c>
      <c r="S509" s="918">
        <f>Q509*Z513/(Q506*Z507+Q507*Z511+Q508*Z512+Q509*Z513)</f>
        <v>2.5844339540589539E-2</v>
      </c>
      <c r="T509" s="520">
        <f>S509*T505</f>
        <v>17050.792457892192</v>
      </c>
      <c r="U509" s="497" t="str">
        <f t="shared" si="289"/>
        <v>ICE Plug-in hybrid vehicle Diesel</v>
      </c>
      <c r="V509" s="1577">
        <f>V369</f>
        <v>0</v>
      </c>
      <c r="W509" s="694">
        <f>AB509*74</f>
        <v>69.279830312714225</v>
      </c>
      <c r="X509" s="61"/>
      <c r="Y509" s="347">
        <f>Y430</f>
        <v>0.72450000000000003</v>
      </c>
      <c r="Z509" s="61">
        <f>1/((AB509/42700)/0.84*1000)</f>
        <v>38.311756654416861</v>
      </c>
      <c r="AA509" s="61">
        <f>1/AB509</f>
        <v>1.0681319464262535</v>
      </c>
      <c r="AB509" s="61">
        <f>AB522/Y509*Y522</f>
        <v>0.9362139231447868</v>
      </c>
      <c r="AC509" s="61">
        <f>AC522/Y509*Y522</f>
        <v>1.950445673218306</v>
      </c>
      <c r="AD509" s="752">
        <f>AC509*V509*D505</f>
        <v>0</v>
      </c>
      <c r="AE509" s="720"/>
      <c r="AF509" s="722">
        <f>AD509*$AW$17</f>
        <v>0</v>
      </c>
      <c r="AG509" s="721"/>
      <c r="AH509" s="721"/>
      <c r="AI509" s="721"/>
      <c r="AJ509" s="721"/>
      <c r="AK509" s="721"/>
      <c r="AL509" s="721"/>
      <c r="AM509" s="721"/>
      <c r="AN509" s="721"/>
      <c r="AO509" s="722">
        <f>AD509*$AX$17</f>
        <v>0</v>
      </c>
      <c r="AP509" s="721"/>
      <c r="AQ509" s="723"/>
      <c r="AR509" s="645">
        <f>V509*T505</f>
        <v>0</v>
      </c>
    </row>
    <row r="510" spans="3:44" ht="15.75" x14ac:dyDescent="0.25">
      <c r="C510" s="591"/>
      <c r="D510" s="532"/>
      <c r="E510" s="546"/>
      <c r="F510" s="364"/>
      <c r="G510" s="473"/>
      <c r="H510" s="827"/>
      <c r="I510" s="538"/>
      <c r="J510" s="473"/>
      <c r="K510" s="1342"/>
      <c r="L510" s="1334"/>
      <c r="M510" s="691"/>
      <c r="N510" s="367"/>
      <c r="T510" s="524"/>
      <c r="U510" s="497" t="s">
        <v>483</v>
      </c>
      <c r="V510" s="1577">
        <f t="shared" ref="V510:V515" si="291">V370</f>
        <v>0</v>
      </c>
      <c r="W510" s="694"/>
      <c r="X510" s="61"/>
      <c r="Y510" s="347">
        <f>Y507</f>
        <v>0.25</v>
      </c>
      <c r="Z510" s="61">
        <f>Z507</f>
        <v>13.220067858666964</v>
      </c>
      <c r="AA510" s="61">
        <f>AA507</f>
        <v>0.36857555087172311</v>
      </c>
      <c r="AB510" s="61">
        <f>AB507</f>
        <v>2.7131479492735919</v>
      </c>
      <c r="AC510" s="61">
        <f>AC507</f>
        <v>5.6523915609866506</v>
      </c>
      <c r="AD510" s="752">
        <f>AC510*V510*D505</f>
        <v>0</v>
      </c>
      <c r="AE510" s="720"/>
      <c r="AF510" s="741"/>
      <c r="AG510" s="721"/>
      <c r="AH510" s="721"/>
      <c r="AI510" s="721"/>
      <c r="AJ510" s="721"/>
      <c r="AK510" s="738">
        <f>AD510</f>
        <v>0</v>
      </c>
      <c r="AL510" s="721"/>
      <c r="AM510" s="721"/>
      <c r="AN510" s="721"/>
      <c r="AO510" s="741"/>
      <c r="AP510" s="721"/>
      <c r="AQ510" s="723"/>
      <c r="AR510" s="645">
        <f>V510*T505</f>
        <v>0</v>
      </c>
    </row>
    <row r="511" spans="3:44" ht="15.75" x14ac:dyDescent="0.25">
      <c r="C511" s="591"/>
      <c r="D511" s="532"/>
      <c r="E511" s="546"/>
      <c r="F511" s="364"/>
      <c r="G511" s="473"/>
      <c r="H511" s="827"/>
      <c r="I511" s="538"/>
      <c r="J511" s="473"/>
      <c r="K511" s="1342"/>
      <c r="L511" s="1334"/>
      <c r="M511" s="691"/>
      <c r="N511" s="367"/>
      <c r="T511" s="524"/>
      <c r="U511" s="497" t="str">
        <f>U371</f>
        <v>ICE Petrol</v>
      </c>
      <c r="V511" s="1577">
        <f t="shared" si="291"/>
        <v>0</v>
      </c>
      <c r="W511" s="694">
        <f>AB511*73</f>
        <v>210.70191520954492</v>
      </c>
      <c r="X511" s="61"/>
      <c r="Y511" s="347">
        <f>Y432</f>
        <v>0.23499999999999999</v>
      </c>
      <c r="Z511" s="61">
        <f>1/((AB511/43800)/0.75*1000)</f>
        <v>11.38124443536794</v>
      </c>
      <c r="AA511" s="61">
        <f>1/AB511</f>
        <v>0.34646101781941968</v>
      </c>
      <c r="AB511" s="628">
        <f>AB522/Y511*Y522</f>
        <v>2.8863276056102043</v>
      </c>
      <c r="AC511" s="61">
        <f>AC522/Y511*Y522</f>
        <v>6.0131825116879263</v>
      </c>
      <c r="AD511" s="752">
        <f>AC511*V511*D505</f>
        <v>0</v>
      </c>
      <c r="AE511" s="726">
        <f>AD511</f>
        <v>0</v>
      </c>
      <c r="AF511" s="727"/>
      <c r="AG511" s="721"/>
      <c r="AH511" s="721"/>
      <c r="AI511" s="721"/>
      <c r="AJ511" s="721"/>
      <c r="AK511" s="721"/>
      <c r="AL511" s="721"/>
      <c r="AM511" s="721"/>
      <c r="AN511" s="721"/>
      <c r="AO511" s="721"/>
      <c r="AP511" s="721"/>
      <c r="AQ511" s="723"/>
      <c r="AR511" s="645">
        <f>V511*T505</f>
        <v>0</v>
      </c>
    </row>
    <row r="512" spans="3:44" ht="15.75" x14ac:dyDescent="0.25">
      <c r="C512" s="591"/>
      <c r="D512" s="532"/>
      <c r="E512" s="546"/>
      <c r="F512" s="364"/>
      <c r="G512" s="473"/>
      <c r="H512" s="827"/>
      <c r="I512" s="538"/>
      <c r="J512" s="473"/>
      <c r="K512" s="1342"/>
      <c r="L512" s="1334"/>
      <c r="M512" s="691"/>
      <c r="N512" s="367"/>
      <c r="T512" s="524"/>
      <c r="U512" s="497" t="str">
        <f>U372</f>
        <v>ICE Bioethanol</v>
      </c>
      <c r="V512" s="1577">
        <f t="shared" si="291"/>
        <v>0</v>
      </c>
      <c r="W512" s="694"/>
      <c r="X512" s="61"/>
      <c r="Y512" s="347">
        <f>Y433</f>
        <v>0.23499999999999999</v>
      </c>
      <c r="Z512" s="61">
        <f>1/((AB512/26700)/0.79*1000)</f>
        <v>7.3079022488650196</v>
      </c>
      <c r="AA512" s="61">
        <f t="shared" si="290"/>
        <v>0.34646101781941968</v>
      </c>
      <c r="AB512" s="61">
        <f>AB522/Y512*Y522</f>
        <v>2.8863276056102043</v>
      </c>
      <c r="AC512" s="61">
        <f>AC522/Y512*Y522</f>
        <v>6.0131825116879263</v>
      </c>
      <c r="AD512" s="752">
        <f>AC512*V512*D505</f>
        <v>0</v>
      </c>
      <c r="AE512" s="720"/>
      <c r="AF512" s="721"/>
      <c r="AG512" s="721"/>
      <c r="AH512" s="721"/>
      <c r="AI512" s="721"/>
      <c r="AJ512" s="722">
        <f>AD512</f>
        <v>0</v>
      </c>
      <c r="AK512" s="741"/>
      <c r="AL512" s="721"/>
      <c r="AM512" s="721"/>
      <c r="AN512" s="721"/>
      <c r="AO512" s="721"/>
      <c r="AP512" s="721"/>
      <c r="AQ512" s="723"/>
      <c r="AR512" s="645">
        <f>V512*T505</f>
        <v>0</v>
      </c>
    </row>
    <row r="513" spans="3:44" ht="15.75" x14ac:dyDescent="0.25">
      <c r="C513" s="591"/>
      <c r="D513" s="532"/>
      <c r="E513" s="546"/>
      <c r="F513" s="364"/>
      <c r="G513" s="473"/>
      <c r="H513" s="827"/>
      <c r="I513" s="538"/>
      <c r="J513" s="473"/>
      <c r="K513" s="1342"/>
      <c r="L513" s="1334"/>
      <c r="M513" s="691"/>
      <c r="N513" s="367"/>
      <c r="T513" s="524"/>
      <c r="U513" s="497" t="str">
        <f>U373</f>
        <v>ICE Bio-methanol</v>
      </c>
      <c r="V513" s="1577">
        <f t="shared" si="291"/>
        <v>0</v>
      </c>
      <c r="W513" s="694"/>
      <c r="X513" s="61"/>
      <c r="Y513" s="347">
        <f>Y434</f>
        <v>0.25</v>
      </c>
      <c r="Z513" s="61">
        <f>1/((AB513/37600)/0.84*1000)</f>
        <v>11.641090198732503</v>
      </c>
      <c r="AA513" s="61">
        <f>1/AB513</f>
        <v>0.36857555087172311</v>
      </c>
      <c r="AB513" s="61">
        <f>AB522/Y513*Y522</f>
        <v>2.7131479492735919</v>
      </c>
      <c r="AC513" s="61">
        <f>AC522/Y513*Y522</f>
        <v>5.6523915609866506</v>
      </c>
      <c r="AD513" s="752">
        <f>AC513*V513*D505</f>
        <v>0</v>
      </c>
      <c r="AE513" s="720"/>
      <c r="AF513" s="721"/>
      <c r="AG513" s="721"/>
      <c r="AI513" s="722">
        <f>+AD513</f>
        <v>0</v>
      </c>
      <c r="AJ513" s="721"/>
      <c r="AK513" s="721"/>
      <c r="AL513" s="721"/>
      <c r="AM513" s="721"/>
      <c r="AN513" s="721"/>
      <c r="AO513" s="721"/>
      <c r="AP513" s="721"/>
      <c r="AQ513" s="723"/>
      <c r="AR513" s="645">
        <f>V513*T505</f>
        <v>0</v>
      </c>
    </row>
    <row r="514" spans="3:44" ht="15.75" x14ac:dyDescent="0.25">
      <c r="C514" s="591"/>
      <c r="D514" s="532"/>
      <c r="E514" s="546"/>
      <c r="F514" s="364"/>
      <c r="G514" s="473"/>
      <c r="H514" s="827"/>
      <c r="I514" s="538"/>
      <c r="J514" s="473"/>
      <c r="K514" s="1342"/>
      <c r="L514" s="1334"/>
      <c r="M514" s="691"/>
      <c r="N514" s="367"/>
      <c r="O514" s="435"/>
      <c r="P514" s="691"/>
      <c r="Q514" s="436"/>
      <c r="R514" s="532"/>
      <c r="S514" s="417"/>
      <c r="T514" s="521"/>
      <c r="U514" s="497" t="str">
        <f>U374</f>
        <v>ICE hybrid vehicle Bio-methanol</v>
      </c>
      <c r="V514" s="1577">
        <f t="shared" si="291"/>
        <v>0</v>
      </c>
      <c r="W514" s="694"/>
      <c r="X514" s="61"/>
      <c r="Y514" s="347">
        <f>Y435</f>
        <v>0.33345793601053042</v>
      </c>
      <c r="Z514" s="61">
        <f>1/((AB514/37600)/0.84*1000)</f>
        <v>15.527255642327018</v>
      </c>
      <c r="AA514" s="61">
        <f t="shared" si="290"/>
        <v>0.49161776983051608</v>
      </c>
      <c r="AB514" s="61">
        <f>AB522/Y514*Y522</f>
        <v>2.0341005988142928</v>
      </c>
      <c r="AC514" s="61">
        <f>AC522/Y514*Y522</f>
        <v>4.2377095808631102</v>
      </c>
      <c r="AD514" s="752">
        <f>AC514*V514*D505</f>
        <v>0</v>
      </c>
      <c r="AE514" s="720"/>
      <c r="AF514" s="721"/>
      <c r="AG514" s="721"/>
      <c r="AH514" s="721"/>
      <c r="AI514" s="722">
        <f>AD514</f>
        <v>0</v>
      </c>
      <c r="AJ514" s="721"/>
      <c r="AK514" s="721"/>
      <c r="AL514" s="721"/>
      <c r="AM514" s="721"/>
      <c r="AN514" s="721"/>
      <c r="AO514" s="721"/>
      <c r="AP514" s="721"/>
      <c r="AQ514" s="723"/>
      <c r="AR514" s="645">
        <f>V514*T505</f>
        <v>0</v>
      </c>
    </row>
    <row r="515" spans="3:44" ht="15.75" x14ac:dyDescent="0.25">
      <c r="C515" s="591"/>
      <c r="D515" s="532"/>
      <c r="E515" s="546"/>
      <c r="F515" s="364"/>
      <c r="G515" s="473"/>
      <c r="H515" s="827"/>
      <c r="I515" s="538"/>
      <c r="J515" s="473"/>
      <c r="K515" s="1342"/>
      <c r="L515" s="1334"/>
      <c r="M515" s="691"/>
      <c r="N515" s="367"/>
      <c r="O515" s="435"/>
      <c r="P515" s="691"/>
      <c r="Q515" s="436"/>
      <c r="R515" s="532"/>
      <c r="S515" s="417"/>
      <c r="T515" s="521"/>
      <c r="U515" s="497" t="str">
        <f>U375</f>
        <v>ICE Plug-in hybrid vehicle Bio-methanol</v>
      </c>
      <c r="V515" s="1577">
        <f t="shared" si="291"/>
        <v>0</v>
      </c>
      <c r="W515" s="694"/>
      <c r="X515" s="61"/>
      <c r="Y515" s="347">
        <f>Y436</f>
        <v>0.72450000000000003</v>
      </c>
      <c r="Z515" s="61">
        <f>1/((AB515/37600)/0.84*1000)</f>
        <v>33.735879395926787</v>
      </c>
      <c r="AA515" s="61">
        <f>1/AB515</f>
        <v>1.0681319464262535</v>
      </c>
      <c r="AB515" s="61">
        <f>AB522/Y515*Y522</f>
        <v>0.9362139231447868</v>
      </c>
      <c r="AC515" s="61">
        <f>AC522/Y515*Y522</f>
        <v>1.950445673218306</v>
      </c>
      <c r="AD515" s="752">
        <f>AC515*V515*D505</f>
        <v>0</v>
      </c>
      <c r="AE515" s="720"/>
      <c r="AF515" s="721"/>
      <c r="AG515" s="721"/>
      <c r="AH515" s="721"/>
      <c r="AI515" s="722">
        <f>AD515*$AW$17</f>
        <v>0</v>
      </c>
      <c r="AJ515" s="721"/>
      <c r="AK515" s="721"/>
      <c r="AL515" s="721"/>
      <c r="AM515" s="721"/>
      <c r="AN515" s="721"/>
      <c r="AO515" s="722">
        <f>AD515*$AX$17</f>
        <v>0</v>
      </c>
      <c r="AP515" s="721"/>
      <c r="AQ515" s="723"/>
      <c r="AR515" s="645">
        <f>V515*T505</f>
        <v>0</v>
      </c>
    </row>
    <row r="516" spans="3:44" ht="15.75" x14ac:dyDescent="0.25">
      <c r="C516" s="591"/>
      <c r="D516" s="532"/>
      <c r="E516" s="546"/>
      <c r="F516" s="364"/>
      <c r="G516" s="473"/>
      <c r="H516" s="827"/>
      <c r="I516" s="538"/>
      <c r="J516" s="473"/>
      <c r="K516" s="1342"/>
      <c r="L516" s="1334"/>
      <c r="M516" s="691"/>
      <c r="N516" s="367"/>
      <c r="O516" s="435"/>
      <c r="P516" s="691"/>
      <c r="Q516" s="436"/>
      <c r="R516" s="532"/>
      <c r="S516" s="417"/>
      <c r="T516" s="521"/>
      <c r="U516" s="497" t="s">
        <v>412</v>
      </c>
      <c r="V516" s="1577">
        <f>V376</f>
        <v>0</v>
      </c>
      <c r="W516" s="694"/>
      <c r="X516" s="61">
        <f t="shared" ref="X516:AB517" si="292">X507</f>
        <v>0</v>
      </c>
      <c r="Y516" s="362">
        <f t="shared" si="292"/>
        <v>0.25</v>
      </c>
      <c r="Z516" s="61">
        <f t="shared" si="292"/>
        <v>13.220067858666964</v>
      </c>
      <c r="AA516" s="61">
        <f t="shared" si="292"/>
        <v>0.36857555087172311</v>
      </c>
      <c r="AB516" s="61">
        <f t="shared" si="292"/>
        <v>2.7131479492735919</v>
      </c>
      <c r="AC516" s="61">
        <f>AB516/H505</f>
        <v>5.6523915609866497</v>
      </c>
      <c r="AD516" s="752">
        <f>AC516*V516*D505</f>
        <v>0</v>
      </c>
      <c r="AE516" s="720"/>
      <c r="AF516" s="727"/>
      <c r="AG516" s="721"/>
      <c r="AH516" s="722">
        <f>AD516</f>
        <v>0</v>
      </c>
      <c r="AI516" s="721"/>
      <c r="AJ516" s="721"/>
      <c r="AK516" s="721"/>
      <c r="AL516" s="721"/>
      <c r="AM516" s="721"/>
      <c r="AN516" s="721"/>
      <c r="AO516" s="721"/>
      <c r="AP516" s="721"/>
      <c r="AQ516" s="723"/>
      <c r="AR516" s="645">
        <f>V516*T505</f>
        <v>0</v>
      </c>
    </row>
    <row r="517" spans="3:44" ht="15.75" x14ac:dyDescent="0.25">
      <c r="C517" s="591"/>
      <c r="D517" s="532"/>
      <c r="E517" s="448"/>
      <c r="F517" s="371"/>
      <c r="G517" s="436"/>
      <c r="H517" s="828"/>
      <c r="I517" s="532"/>
      <c r="J517" s="417"/>
      <c r="K517" s="553"/>
      <c r="L517" s="432"/>
      <c r="M517" s="691"/>
      <c r="N517" s="367"/>
      <c r="O517" s="435"/>
      <c r="P517" s="691"/>
      <c r="Q517" s="436"/>
      <c r="R517" s="532"/>
      <c r="S517" s="417"/>
      <c r="T517" s="521"/>
      <c r="U517" s="497" t="s">
        <v>413</v>
      </c>
      <c r="V517" s="1577">
        <f>V377</f>
        <v>0</v>
      </c>
      <c r="W517" s="694"/>
      <c r="X517" s="61">
        <f t="shared" si="292"/>
        <v>0</v>
      </c>
      <c r="Y517" s="362">
        <f t="shared" si="292"/>
        <v>0.33345793601053042</v>
      </c>
      <c r="Z517" s="61">
        <f t="shared" si="292"/>
        <v>17.633346168280951</v>
      </c>
      <c r="AA517" s="61">
        <f t="shared" si="292"/>
        <v>0.49161776983051608</v>
      </c>
      <c r="AB517" s="61">
        <f t="shared" si="292"/>
        <v>2.0341005988142928</v>
      </c>
      <c r="AC517" s="61">
        <f>AB517/H505</f>
        <v>4.2377095808631102</v>
      </c>
      <c r="AD517" s="752">
        <f>AC517*V517*D505</f>
        <v>0</v>
      </c>
      <c r="AE517" s="720"/>
      <c r="AF517" s="727"/>
      <c r="AG517" s="721"/>
      <c r="AH517" s="722">
        <f>AD517</f>
        <v>0</v>
      </c>
      <c r="AI517" s="721"/>
      <c r="AJ517" s="721"/>
      <c r="AK517" s="721"/>
      <c r="AL517" s="721"/>
      <c r="AM517" s="721"/>
      <c r="AN517" s="721"/>
      <c r="AO517" s="721"/>
      <c r="AP517" s="721"/>
      <c r="AQ517" s="723"/>
      <c r="AR517" s="645">
        <f>V517*T505</f>
        <v>0</v>
      </c>
    </row>
    <row r="518" spans="3:44" ht="15.75" x14ac:dyDescent="0.25">
      <c r="C518" s="591"/>
      <c r="D518" s="532"/>
      <c r="E518" s="448"/>
      <c r="F518" s="364"/>
      <c r="G518" s="473"/>
      <c r="H518" s="827"/>
      <c r="I518" s="538"/>
      <c r="J518" s="473"/>
      <c r="K518" s="1342"/>
      <c r="L518" s="1334"/>
      <c r="M518" s="691"/>
      <c r="N518" s="367"/>
      <c r="O518" s="435"/>
      <c r="P518" s="691"/>
      <c r="Q518" s="436"/>
      <c r="R518" s="532"/>
      <c r="S518" s="417"/>
      <c r="T518" s="521"/>
      <c r="U518" s="497" t="s">
        <v>414</v>
      </c>
      <c r="V518" s="1577">
        <f>V378</f>
        <v>0</v>
      </c>
      <c r="W518" s="694"/>
      <c r="X518" s="61">
        <f>X507</f>
        <v>0</v>
      </c>
      <c r="Y518" s="362">
        <f>Y515</f>
        <v>0.72450000000000003</v>
      </c>
      <c r="Z518" s="61">
        <f>Z509</f>
        <v>38.311756654416861</v>
      </c>
      <c r="AA518" s="61">
        <f>AA509</f>
        <v>1.0681319464262535</v>
      </c>
      <c r="AB518" s="61">
        <f>AB509</f>
        <v>0.9362139231447868</v>
      </c>
      <c r="AC518" s="61">
        <f>AB518/H505</f>
        <v>1.950445673218306</v>
      </c>
      <c r="AD518" s="752">
        <f>AC518*V518*D505</f>
        <v>0</v>
      </c>
      <c r="AE518" s="720"/>
      <c r="AF518" s="727"/>
      <c r="AG518" s="721"/>
      <c r="AH518" s="722">
        <f>AD518*$AW$17</f>
        <v>0</v>
      </c>
      <c r="AI518" s="721"/>
      <c r="AJ518" s="721"/>
      <c r="AK518" s="721"/>
      <c r="AL518" s="721"/>
      <c r="AM518" s="721"/>
      <c r="AN518" s="721"/>
      <c r="AO518" s="722">
        <f>AD518*$AX$17</f>
        <v>0</v>
      </c>
      <c r="AP518" s="721"/>
      <c r="AQ518" s="723"/>
      <c r="AR518" s="645">
        <f>V518*T505</f>
        <v>0</v>
      </c>
    </row>
    <row r="519" spans="3:44" ht="15.75" x14ac:dyDescent="0.25">
      <c r="C519" s="591"/>
      <c r="D519" s="532"/>
      <c r="E519" s="448"/>
      <c r="F519" s="364"/>
      <c r="G519" s="473"/>
      <c r="H519" s="827"/>
      <c r="I519" s="538"/>
      <c r="J519" s="473"/>
      <c r="K519" s="1342"/>
      <c r="L519" s="1334"/>
      <c r="M519" s="691"/>
      <c r="N519" s="367"/>
      <c r="O519" s="435"/>
      <c r="P519" s="691"/>
      <c r="Q519" s="436"/>
      <c r="R519" s="532"/>
      <c r="S519" s="417"/>
      <c r="T519" s="521"/>
      <c r="U519" s="497" t="str">
        <f t="shared" ref="U519:V521" si="293">U379</f>
        <v>Fuel cell hybrid vehicle Syn-methanol</v>
      </c>
      <c r="V519" s="1577">
        <f t="shared" si="293"/>
        <v>0</v>
      </c>
      <c r="W519" s="694"/>
      <c r="X519" s="61"/>
      <c r="Y519" s="347">
        <f>Y440</f>
        <v>0.6</v>
      </c>
      <c r="Z519" s="61"/>
      <c r="AA519" s="61">
        <f>1/AB519</f>
        <v>0.88458132209213536</v>
      </c>
      <c r="AB519" s="61">
        <f>AB522/Y519*Y522</f>
        <v>1.1304783121973301</v>
      </c>
      <c r="AC519" s="61">
        <f>AC522/Y519*Y522</f>
        <v>2.3551631504111046</v>
      </c>
      <c r="AD519" s="752">
        <f>AC519*V519*D505</f>
        <v>0</v>
      </c>
      <c r="AE519" s="720"/>
      <c r="AF519" s="721"/>
      <c r="AG519" s="721"/>
      <c r="AH519" s="722">
        <f>AD519</f>
        <v>0</v>
      </c>
      <c r="AI519" s="721"/>
      <c r="AJ519" s="721"/>
      <c r="AK519" s="721"/>
      <c r="AL519" s="721"/>
      <c r="AM519" s="721"/>
      <c r="AN519" s="721"/>
      <c r="AO519" s="721"/>
      <c r="AP519" s="721"/>
      <c r="AQ519" s="721"/>
      <c r="AR519" s="645">
        <f>V519*T505</f>
        <v>0</v>
      </c>
    </row>
    <row r="520" spans="3:44" ht="15.75" x14ac:dyDescent="0.25">
      <c r="C520" s="591"/>
      <c r="D520" s="532"/>
      <c r="E520" s="448"/>
      <c r="F520" s="364"/>
      <c r="G520" s="473"/>
      <c r="H520" s="827"/>
      <c r="I520" s="538"/>
      <c r="J520" s="473"/>
      <c r="K520" s="1342"/>
      <c r="L520" s="1334"/>
      <c r="M520" s="691"/>
      <c r="N520" s="367"/>
      <c r="O520" s="435"/>
      <c r="P520" s="691"/>
      <c r="Q520" s="436"/>
      <c r="R520" s="532"/>
      <c r="S520" s="417"/>
      <c r="T520" s="521"/>
      <c r="U520" s="497" t="str">
        <f t="shared" si="293"/>
        <v>Plug-in fuel cell hybrid vehicle Electricity &amp; Syn-methanol</v>
      </c>
      <c r="V520" s="1577">
        <f t="shared" si="293"/>
        <v>0</v>
      </c>
      <c r="W520" s="694"/>
      <c r="X520" s="61"/>
      <c r="Y520" s="347">
        <f>Y441</f>
        <v>0.81861107121816934</v>
      </c>
      <c r="Z520" s="61"/>
      <c r="AA520" s="61">
        <f>1/AB520</f>
        <v>1.2068801060957124</v>
      </c>
      <c r="AB520" s="61">
        <f>AB522/Y520*Y522</f>
        <v>0.82858271915263004</v>
      </c>
      <c r="AC520" s="61">
        <f>AC522/Y520*Y522</f>
        <v>1.7262139982346461</v>
      </c>
      <c r="AD520" s="752">
        <f>AC520*V520*D505</f>
        <v>0</v>
      </c>
      <c r="AE520" s="720"/>
      <c r="AF520" s="721"/>
      <c r="AG520" s="721"/>
      <c r="AH520" s="722">
        <f>AD520*$AU$17</f>
        <v>0</v>
      </c>
      <c r="AI520" s="721"/>
      <c r="AJ520" s="721"/>
      <c r="AK520" s="721"/>
      <c r="AL520" s="721"/>
      <c r="AM520" s="721"/>
      <c r="AN520" s="721"/>
      <c r="AO520" s="722">
        <f>AD520*$AV$17</f>
        <v>0</v>
      </c>
      <c r="AP520" s="721"/>
      <c r="AQ520" s="721"/>
      <c r="AR520" s="645">
        <f>V520*T505</f>
        <v>0</v>
      </c>
    </row>
    <row r="521" spans="3:44" ht="16.5" thickBot="1" x14ac:dyDescent="0.3">
      <c r="C521" s="591"/>
      <c r="D521" s="532"/>
      <c r="E521" s="448"/>
      <c r="F521" s="364"/>
      <c r="G521" s="473"/>
      <c r="H521" s="827"/>
      <c r="I521" s="538"/>
      <c r="J521" s="473"/>
      <c r="K521" s="1342"/>
      <c r="L521" s="1334"/>
      <c r="M521" s="691"/>
      <c r="N521" s="367"/>
      <c r="O521" s="435"/>
      <c r="P521" s="691"/>
      <c r="Q521" s="436"/>
      <c r="R521" s="532"/>
      <c r="S521" s="417"/>
      <c r="T521" s="521"/>
      <c r="U521" s="497" t="str">
        <f t="shared" si="293"/>
        <v>ICE Biogas</v>
      </c>
      <c r="V521" s="1578">
        <f t="shared" si="293"/>
        <v>0</v>
      </c>
      <c r="W521" s="694"/>
      <c r="X521" s="61"/>
      <c r="Y521" s="347">
        <f>Y442</f>
        <v>0.23500000000000001</v>
      </c>
      <c r="Z521" s="61"/>
      <c r="AA521" s="61">
        <f>1/AB521</f>
        <v>0.34646101781941974</v>
      </c>
      <c r="AB521" s="61">
        <f>AB522/Y521*Y522</f>
        <v>2.8863276056102039</v>
      </c>
      <c r="AC521" s="61">
        <f>AC522/Y521*Y522</f>
        <v>6.0131825116879254</v>
      </c>
      <c r="AD521" s="752">
        <f>AC521*V521*D505</f>
        <v>0</v>
      </c>
      <c r="AE521" s="720"/>
      <c r="AF521" s="721"/>
      <c r="AG521" s="721"/>
      <c r="AH521" s="721"/>
      <c r="AI521" s="721"/>
      <c r="AJ521" s="721"/>
      <c r="AK521" s="721"/>
      <c r="AL521" s="722">
        <f>AD521</f>
        <v>0</v>
      </c>
      <c r="AM521" s="721"/>
      <c r="AN521" s="721"/>
      <c r="AO521" s="721"/>
      <c r="AP521" s="721"/>
      <c r="AQ521" s="723"/>
      <c r="AR521" s="645">
        <f>V521*T505</f>
        <v>0</v>
      </c>
    </row>
    <row r="522" spans="3:44" ht="15.75" x14ac:dyDescent="0.25">
      <c r="C522" s="592"/>
      <c r="D522" s="705"/>
      <c r="E522" s="456"/>
      <c r="F522" s="385"/>
      <c r="G522" s="663"/>
      <c r="H522" s="1356"/>
      <c r="I522" s="692"/>
      <c r="J522" s="663"/>
      <c r="K522" s="1359"/>
      <c r="L522" s="1357"/>
      <c r="M522" s="695"/>
      <c r="N522" s="785"/>
      <c r="O522" s="442"/>
      <c r="P522" s="695"/>
      <c r="Q522" s="443"/>
      <c r="R522" s="705"/>
      <c r="S522" s="458"/>
      <c r="T522" s="524"/>
      <c r="U522" s="1557" t="str">
        <f t="shared" ref="U522:U536" si="294">U382</f>
        <v>No shift in technology</v>
      </c>
      <c r="V522" s="410">
        <f>1-SUM(V506:V521)</f>
        <v>1</v>
      </c>
      <c r="W522" s="532">
        <f>AB522*73.5</f>
        <v>243.13524404988593</v>
      </c>
      <c r="X522" s="616"/>
      <c r="Y522" s="58">
        <f>Y443</f>
        <v>0.20504675808198874</v>
      </c>
      <c r="Z522" s="411"/>
      <c r="AA522" s="411"/>
      <c r="AB522" s="411">
        <f>L505</f>
        <v>3.3079625040800806</v>
      </c>
      <c r="AC522" s="432">
        <f>K505</f>
        <v>6.8915885501668352</v>
      </c>
      <c r="AD522" s="748">
        <f>AC522*V522*D505</f>
        <v>53766.510208200671</v>
      </c>
      <c r="AE522" s="728">
        <f>+AD522*Q507</f>
        <v>1602.562929997641</v>
      </c>
      <c r="AF522" s="729">
        <f>AD522*Q506</f>
        <v>49072.372941231493</v>
      </c>
      <c r="AG522" s="730"/>
      <c r="AH522" s="730"/>
      <c r="AI522" s="893"/>
      <c r="AJ522" s="729">
        <f>AD522*Q508</f>
        <v>1545.7871684857694</v>
      </c>
      <c r="AK522" s="729">
        <f>AD522*Q509</f>
        <v>1545.7871684857694</v>
      </c>
      <c r="AL522" s="730"/>
      <c r="AM522" s="730"/>
      <c r="AN522" s="730"/>
      <c r="AO522" s="730"/>
      <c r="AP522" s="730"/>
      <c r="AQ522" s="731"/>
      <c r="AR522" s="645">
        <f>T505-SUM(V506:V521)*T505</f>
        <v>659749.59163159342</v>
      </c>
    </row>
    <row r="523" spans="3:44" ht="16.5" thickBot="1" x14ac:dyDescent="0.3">
      <c r="C523" s="593" t="str">
        <f>C383</f>
        <v xml:space="preserve">National rail </v>
      </c>
      <c r="D523" s="693">
        <f>SUM(D524,D525)</f>
        <v>167</v>
      </c>
      <c r="E523" s="392">
        <f>D523/D561</f>
        <v>1.0193012898502007E-3</v>
      </c>
      <c r="F523" s="1329">
        <f>((F524*I524)+(F525*I525)+(F526*I526))/(I524+I525+I526)</f>
        <v>750</v>
      </c>
      <c r="G523" s="1320">
        <f>H523/F523</f>
        <v>0.37</v>
      </c>
      <c r="H523" s="1328">
        <f>((H524*I524)+(H525*I525)+(H526*I526))/(I524+I525+I526)</f>
        <v>277.5</v>
      </c>
      <c r="I523" s="759">
        <f>D523/H523</f>
        <v>0.60180180180180176</v>
      </c>
      <c r="J523" s="795">
        <f>J525+J524</f>
        <v>3.1017704381086049E-5</v>
      </c>
      <c r="K523" s="1324">
        <f>L523/H523</f>
        <v>0.33</v>
      </c>
      <c r="L523" s="1328">
        <f>((L524*I524)+(L525*I525)+(L526*I526))/(I524+I525+I526)</f>
        <v>91.575000000000003</v>
      </c>
      <c r="M523" s="693">
        <f>SUM(M524:M525)</f>
        <v>55.11</v>
      </c>
      <c r="N523" s="413">
        <f>M523/M561</f>
        <v>4.451937791011094E-4</v>
      </c>
      <c r="O523" s="682" t="s">
        <v>60</v>
      </c>
      <c r="P523" s="759">
        <f>SUM(P524:P525)</f>
        <v>55.11</v>
      </c>
      <c r="Q523" s="801">
        <f>SUM(Q524:Q525)</f>
        <v>1</v>
      </c>
      <c r="R523" s="759">
        <f>SUM(R524:R525)</f>
        <v>167</v>
      </c>
      <c r="S523" s="801">
        <f>SUM(S524:S525)</f>
        <v>1</v>
      </c>
      <c r="T523" s="680"/>
      <c r="U523" s="1556" t="str">
        <f t="shared" si="294"/>
        <v xml:space="preserve">Sum </v>
      </c>
      <c r="V523" s="619"/>
      <c r="W523" s="762"/>
      <c r="X523" s="447"/>
      <c r="Y523" s="619"/>
      <c r="Z523" s="447"/>
      <c r="AA523" s="447"/>
      <c r="AB523" s="620"/>
      <c r="AC523" s="620"/>
      <c r="AD523" s="749">
        <f>SUM(AD524:AD528)</f>
        <v>55.11</v>
      </c>
      <c r="AE523" s="725"/>
      <c r="AF523" s="721"/>
      <c r="AG523" s="721"/>
      <c r="AH523" s="721"/>
      <c r="AI523" s="721"/>
      <c r="AJ523" s="721"/>
      <c r="AK523" s="721"/>
      <c r="AL523" s="721"/>
      <c r="AM523" s="721"/>
      <c r="AN523" s="721"/>
      <c r="AO523" s="721"/>
      <c r="AP523" s="721"/>
      <c r="AQ523" s="721"/>
      <c r="AR523" s="651"/>
    </row>
    <row r="524" spans="3:44" ht="15.75" x14ac:dyDescent="0.25">
      <c r="C524" s="591" t="str">
        <f>C384</f>
        <v>National rail (diesel)</v>
      </c>
      <c r="D524" s="532">
        <f>((D384*(1+'Growth, Modal Shift, InfraCosts'!K59)^'Growth, Modal Shift, InfraCosts'!$L$4))</f>
        <v>0</v>
      </c>
      <c r="E524" s="448">
        <f>D524/D561</f>
        <v>0</v>
      </c>
      <c r="F524" s="364">
        <v>750</v>
      </c>
      <c r="G524" s="425">
        <v>0.37</v>
      </c>
      <c r="H524" s="827">
        <f>F524*G524</f>
        <v>277.5</v>
      </c>
      <c r="I524" s="538">
        <f>D524/H524</f>
        <v>0</v>
      </c>
      <c r="J524" s="473">
        <f>I524/I561</f>
        <v>0</v>
      </c>
      <c r="K524" s="1342">
        <f>L524/H524</f>
        <v>0.75775855855855856</v>
      </c>
      <c r="L524" s="1343">
        <f>L104</f>
        <v>210.27799999999999</v>
      </c>
      <c r="M524" s="691">
        <f>D524*K524</f>
        <v>0</v>
      </c>
      <c r="N524" s="367">
        <f>M524/M561</f>
        <v>0</v>
      </c>
      <c r="O524" s="450" t="s">
        <v>3</v>
      </c>
      <c r="P524" s="532">
        <f>M524</f>
        <v>0</v>
      </c>
      <c r="Q524" s="436">
        <f>P524/SUM(P524:P525)</f>
        <v>0</v>
      </c>
      <c r="R524" s="532">
        <f>D524</f>
        <v>0</v>
      </c>
      <c r="S524" s="448">
        <f>R524/SUM(R524:R525)</f>
        <v>0</v>
      </c>
      <c r="T524" s="525"/>
      <c r="U524" s="497" t="str">
        <f t="shared" si="294"/>
        <v>Syn-methanol trains</v>
      </c>
      <c r="V524" s="294">
        <f>V384</f>
        <v>0</v>
      </c>
      <c r="W524" s="532"/>
      <c r="X524" s="4"/>
      <c r="Y524" s="4"/>
      <c r="Z524" s="432"/>
      <c r="AA524" s="432"/>
      <c r="AB524" s="432">
        <f>L524</f>
        <v>210.27799999999999</v>
      </c>
      <c r="AC524" s="432">
        <f>K524</f>
        <v>0.75775855855855856</v>
      </c>
      <c r="AD524" s="748">
        <f>AC524*D523*V524</f>
        <v>0</v>
      </c>
      <c r="AE524" s="725"/>
      <c r="AF524" s="721"/>
      <c r="AG524" s="721"/>
      <c r="AH524" s="722">
        <f>AD524</f>
        <v>0</v>
      </c>
      <c r="AJ524" s="721"/>
      <c r="AK524" s="721"/>
      <c r="AL524" s="721"/>
      <c r="AM524" s="721"/>
      <c r="AN524" s="721"/>
      <c r="AO524" s="721"/>
      <c r="AP524" s="721"/>
      <c r="AQ524" s="721"/>
      <c r="AR524" s="649"/>
    </row>
    <row r="525" spans="3:44" ht="16.5" thickBot="1" x14ac:dyDescent="0.3">
      <c r="C525" s="591" t="str">
        <f>C385</f>
        <v>National rail (electricity)</v>
      </c>
      <c r="D525" s="532">
        <f>((D385*(1+'Growth, Modal Shift, InfraCosts'!K60)^'Growth, Modal Shift, InfraCosts'!$L$4))+'Growth, Modal Shift, InfraCosts'!T51*(D343*(1+'Growth, Modal Shift, InfraCosts'!K49)^'Growth, Modal Shift, InfraCosts'!$L$4)+'Growth, Modal Shift, InfraCosts'!T52*(D344*(1+'Growth, Modal Shift, InfraCosts'!K50)^'Growth, Modal Shift, InfraCosts'!$L$4)</f>
        <v>167</v>
      </c>
      <c r="E525" s="448">
        <f>D525/D561</f>
        <v>1.0193012898502007E-3</v>
      </c>
      <c r="F525" s="364">
        <v>750</v>
      </c>
      <c r="G525" s="426">
        <v>0.37</v>
      </c>
      <c r="H525" s="827">
        <f>F525*G525</f>
        <v>277.5</v>
      </c>
      <c r="I525" s="538">
        <f>D525/H525</f>
        <v>0.60180180180180176</v>
      </c>
      <c r="J525" s="473">
        <f>I525/I561</f>
        <v>3.1017704381086049E-5</v>
      </c>
      <c r="K525" s="1342">
        <f>L525/H525</f>
        <v>0.33</v>
      </c>
      <c r="L525" s="1345">
        <f>L105</f>
        <v>91.575000000000003</v>
      </c>
      <c r="M525" s="691">
        <f>D525*K525</f>
        <v>55.11</v>
      </c>
      <c r="N525" s="367">
        <f>M525/M561</f>
        <v>4.451937791011094E-4</v>
      </c>
      <c r="O525" s="450" t="s">
        <v>5</v>
      </c>
      <c r="P525" s="532">
        <f>M525</f>
        <v>55.11</v>
      </c>
      <c r="Q525" s="417">
        <f>P525/SUM(P524:P525)</f>
        <v>1</v>
      </c>
      <c r="R525" s="532">
        <f>D525</f>
        <v>167</v>
      </c>
      <c r="S525" s="448">
        <f>R525/SUM(R524:R525)</f>
        <v>1</v>
      </c>
      <c r="T525" s="524"/>
      <c r="U525" s="497" t="str">
        <f t="shared" si="294"/>
        <v>Electric trains</v>
      </c>
      <c r="V525" s="375">
        <f>V385</f>
        <v>0</v>
      </c>
      <c r="W525" s="532"/>
      <c r="X525" s="4"/>
      <c r="Y525" s="4"/>
      <c r="Z525" s="432"/>
      <c r="AA525" s="432"/>
      <c r="AB525" s="432">
        <f>L525</f>
        <v>91.575000000000003</v>
      </c>
      <c r="AC525" s="432">
        <f>K525</f>
        <v>0.33</v>
      </c>
      <c r="AD525" s="748">
        <f>AC525*D523*V525</f>
        <v>0</v>
      </c>
      <c r="AE525" s="725"/>
      <c r="AF525" s="721"/>
      <c r="AG525" s="721"/>
      <c r="AH525" s="721"/>
      <c r="AI525" s="721"/>
      <c r="AJ525" s="721"/>
      <c r="AK525" s="721"/>
      <c r="AL525" s="721"/>
      <c r="AM525" s="721"/>
      <c r="AN525" s="721"/>
      <c r="AO525" s="721"/>
      <c r="AP525" s="722">
        <f>+AD525</f>
        <v>0</v>
      </c>
      <c r="AQ525" s="721"/>
      <c r="AR525" s="649"/>
    </row>
    <row r="526" spans="3:44" ht="15.75" x14ac:dyDescent="0.25">
      <c r="C526" s="591"/>
      <c r="D526" s="532"/>
      <c r="E526" s="448"/>
      <c r="F526" s="364"/>
      <c r="G526" s="364"/>
      <c r="H526" s="827"/>
      <c r="I526" s="538"/>
      <c r="J526" s="473"/>
      <c r="K526" s="1342"/>
      <c r="L526" s="364"/>
      <c r="M526" s="691"/>
      <c r="N526" s="367"/>
      <c r="T526" s="524"/>
      <c r="U526" s="497" t="str">
        <f t="shared" si="294"/>
        <v>Diesel trains</v>
      </c>
      <c r="V526" s="375">
        <f>V386</f>
        <v>0</v>
      </c>
      <c r="W526" s="532">
        <f>AB526*74</f>
        <v>15560.572</v>
      </c>
      <c r="X526" s="4"/>
      <c r="Y526" s="4"/>
      <c r="Z526" s="432"/>
      <c r="AA526" s="432"/>
      <c r="AB526" s="432">
        <f>AB524</f>
        <v>210.27799999999999</v>
      </c>
      <c r="AC526" s="432">
        <f>AC524</f>
        <v>0.75775855855855856</v>
      </c>
      <c r="AD526" s="748">
        <f>AC526*D523*V526</f>
        <v>0</v>
      </c>
      <c r="AE526" s="725"/>
      <c r="AF526" s="722">
        <f>AD526</f>
        <v>0</v>
      </c>
      <c r="AG526" s="721"/>
      <c r="AH526" s="721"/>
      <c r="AI526" s="721"/>
      <c r="AJ526" s="721"/>
      <c r="AK526" s="721"/>
      <c r="AL526" s="721"/>
      <c r="AM526" s="721"/>
      <c r="AN526" s="721"/>
      <c r="AO526" s="721"/>
      <c r="AP526" s="721"/>
      <c r="AQ526" s="721"/>
      <c r="AR526" s="649"/>
    </row>
    <row r="527" spans="3:44" ht="16.5" thickBot="1" x14ac:dyDescent="0.3">
      <c r="C527" s="591"/>
      <c r="D527" s="532"/>
      <c r="E527" s="448"/>
      <c r="F527" s="364"/>
      <c r="G527" s="364"/>
      <c r="H527" s="827"/>
      <c r="I527" s="538"/>
      <c r="J527" s="473"/>
      <c r="K527" s="1342"/>
      <c r="L527" s="364"/>
      <c r="M527" s="691"/>
      <c r="N527" s="367"/>
      <c r="T527" s="524"/>
      <c r="U527" s="497" t="str">
        <f t="shared" si="294"/>
        <v>Bio-methanol trains</v>
      </c>
      <c r="V527" s="295">
        <f>V387</f>
        <v>0</v>
      </c>
      <c r="W527" s="532"/>
      <c r="X527" s="4"/>
      <c r="Y527" s="4"/>
      <c r="Z527" s="432"/>
      <c r="AA527" s="432"/>
      <c r="AB527" s="432">
        <f>AB526</f>
        <v>210.27799999999999</v>
      </c>
      <c r="AC527" s="432">
        <f>AC526</f>
        <v>0.75775855855855856</v>
      </c>
      <c r="AD527" s="748">
        <f>AC527*D523*V527</f>
        <v>0</v>
      </c>
      <c r="AE527" s="725"/>
      <c r="AF527" s="721"/>
      <c r="AG527" s="721"/>
      <c r="AH527" s="721"/>
      <c r="AI527" s="722">
        <f>AD527</f>
        <v>0</v>
      </c>
      <c r="AJ527" s="721"/>
      <c r="AK527" s="721"/>
      <c r="AL527" s="721"/>
      <c r="AM527" s="721"/>
      <c r="AN527" s="721"/>
      <c r="AO527" s="721"/>
      <c r="AP527" s="721"/>
      <c r="AQ527" s="721"/>
      <c r="AR527" s="649"/>
    </row>
    <row r="528" spans="3:44" ht="16.5" thickBot="1" x14ac:dyDescent="0.3">
      <c r="C528" s="591"/>
      <c r="D528" s="532"/>
      <c r="E528" s="448"/>
      <c r="F528" s="364"/>
      <c r="G528" s="665"/>
      <c r="H528" s="1356"/>
      <c r="I528" s="692"/>
      <c r="J528" s="663"/>
      <c r="K528" s="1342"/>
      <c r="L528" s="1334"/>
      <c r="M528" s="691"/>
      <c r="N528" s="367"/>
      <c r="T528" s="523"/>
      <c r="U528" s="497" t="str">
        <f t="shared" si="294"/>
        <v>No shift in technology</v>
      </c>
      <c r="V528" s="410">
        <f>1-SUM(V524:V527)</f>
        <v>1</v>
      </c>
      <c r="W528" s="705"/>
      <c r="X528" s="384"/>
      <c r="Y528" s="384"/>
      <c r="Z528" s="439"/>
      <c r="AA528" s="439"/>
      <c r="AB528" s="439">
        <f>L523</f>
        <v>91.575000000000003</v>
      </c>
      <c r="AC528" s="439">
        <f>K523</f>
        <v>0.33</v>
      </c>
      <c r="AD528" s="748">
        <f>AC528*V528*D523</f>
        <v>55.11</v>
      </c>
      <c r="AE528" s="732"/>
      <c r="AF528" s="729">
        <f>+AD528*Q524</f>
        <v>0</v>
      </c>
      <c r="AG528" s="730"/>
      <c r="AH528" s="730"/>
      <c r="AI528" s="730"/>
      <c r="AJ528" s="730"/>
      <c r="AK528" s="730"/>
      <c r="AL528" s="730"/>
      <c r="AM528" s="730"/>
      <c r="AN528" s="730"/>
      <c r="AO528" s="730"/>
      <c r="AP528" s="729">
        <f>AD528*Q525</f>
        <v>55.11</v>
      </c>
      <c r="AQ528" s="730"/>
      <c r="AR528" s="652"/>
    </row>
    <row r="529" spans="3:44" ht="16.5" thickBot="1" x14ac:dyDescent="0.3">
      <c r="C529" s="593" t="str">
        <f>C389</f>
        <v>International rail (electricity)</v>
      </c>
      <c r="D529" s="693">
        <f>((D389*(1+'Growth, Modal Shift, InfraCosts'!K61)^'Growth, Modal Shift, InfraCosts'!$L$4))+'Growth, Modal Shift, InfraCosts'!T53*((D356*(1+'Growth, Modal Shift, InfraCosts'!K54)^'Growth, Modal Shift, InfraCosts'!$L$4))</f>
        <v>748.72479607132652</v>
      </c>
      <c r="E529" s="392">
        <f>D529/D561</f>
        <v>4.5699170681337224E-3</v>
      </c>
      <c r="F529" s="1380">
        <v>1000</v>
      </c>
      <c r="G529" s="453">
        <v>0.37</v>
      </c>
      <c r="H529" s="1337">
        <f>F529*G529</f>
        <v>370</v>
      </c>
      <c r="I529" s="757">
        <f>D529/H529</f>
        <v>2.023580529922504</v>
      </c>
      <c r="J529" s="809">
        <f>I529/I561</f>
        <v>1.0429816341614974E-4</v>
      </c>
      <c r="K529" s="682">
        <f>L529/H529</f>
        <v>0.27999999999999997</v>
      </c>
      <c r="L529" s="1332">
        <v>103.6</v>
      </c>
      <c r="M529" s="693">
        <f>D529*K529</f>
        <v>209.64294289997142</v>
      </c>
      <c r="N529" s="413">
        <f>M529/M561</f>
        <v>1.6935535113684697E-3</v>
      </c>
      <c r="O529" s="682" t="s">
        <v>60</v>
      </c>
      <c r="P529" s="759">
        <f>SUM(P530:P531)</f>
        <v>209.64294289997142</v>
      </c>
      <c r="Q529" s="801">
        <f>SUM(Q530:Q531)</f>
        <v>1</v>
      </c>
      <c r="R529" s="759">
        <f>SUM(R530:R531)</f>
        <v>748.72479607132652</v>
      </c>
      <c r="S529" s="801">
        <f>SUM(S530:S531)</f>
        <v>1</v>
      </c>
      <c r="T529" s="680"/>
      <c r="U529" s="1556" t="str">
        <f t="shared" si="294"/>
        <v xml:space="preserve">Sum </v>
      </c>
      <c r="V529" s="619"/>
      <c r="W529" s="762"/>
      <c r="X529" s="447"/>
      <c r="Y529" s="619"/>
      <c r="Z529" s="447"/>
      <c r="AA529" s="447"/>
      <c r="AB529" s="447"/>
      <c r="AC529" s="447"/>
      <c r="AD529" s="749">
        <f>SUM(AD530:AD534)</f>
        <v>209.64294289997142</v>
      </c>
      <c r="AE529" s="725"/>
      <c r="AF529" s="721"/>
      <c r="AG529" s="721"/>
      <c r="AH529" s="721"/>
      <c r="AI529" s="721"/>
      <c r="AJ529" s="721"/>
      <c r="AK529" s="721"/>
      <c r="AL529" s="721"/>
      <c r="AM529" s="721"/>
      <c r="AN529" s="721"/>
      <c r="AO529" s="721"/>
      <c r="AP529" s="721"/>
      <c r="AQ529" s="721"/>
      <c r="AR529" s="651"/>
    </row>
    <row r="530" spans="3:44" ht="15.75" x14ac:dyDescent="0.25">
      <c r="C530" s="594"/>
      <c r="D530" s="532"/>
      <c r="E530" s="448"/>
      <c r="F530" s="416"/>
      <c r="G530" s="405"/>
      <c r="H530" s="829"/>
      <c r="I530" s="532"/>
      <c r="J530" s="417"/>
      <c r="K530" s="553"/>
      <c r="L530" s="432"/>
      <c r="M530" s="532"/>
      <c r="N530" s="367"/>
      <c r="O530" s="450" t="s">
        <v>3</v>
      </c>
      <c r="P530" s="532">
        <f>M530</f>
        <v>0</v>
      </c>
      <c r="Q530" s="436">
        <f>P530/SUM(P530:P531)</f>
        <v>0</v>
      </c>
      <c r="R530" s="532">
        <f>D530</f>
        <v>0</v>
      </c>
      <c r="S530" s="448">
        <f>R530/SUM(R530:R531)</f>
        <v>0</v>
      </c>
      <c r="T530" s="525"/>
      <c r="U530" s="497" t="str">
        <f t="shared" si="294"/>
        <v>Syn-methanol trains</v>
      </c>
      <c r="V530" s="294">
        <f>V390</f>
        <v>0</v>
      </c>
      <c r="W530" s="532"/>
      <c r="X530" s="4"/>
      <c r="Y530" s="4"/>
      <c r="Z530" s="432"/>
      <c r="AA530" s="432"/>
      <c r="AB530" s="432">
        <f>AB524</f>
        <v>210.27799999999999</v>
      </c>
      <c r="AC530" s="432">
        <f>AC524</f>
        <v>0.75775855855855856</v>
      </c>
      <c r="AD530" s="748">
        <f>AC530*D529*V530</f>
        <v>0</v>
      </c>
      <c r="AE530" s="725"/>
      <c r="AF530" s="721"/>
      <c r="AG530" s="721"/>
      <c r="AH530" s="722">
        <f>AD530</f>
        <v>0</v>
      </c>
      <c r="AJ530" s="721"/>
      <c r="AK530" s="721"/>
      <c r="AL530" s="721"/>
      <c r="AM530" s="721"/>
      <c r="AN530" s="721"/>
      <c r="AO530" s="721"/>
      <c r="AP530" s="721"/>
      <c r="AQ530" s="721"/>
      <c r="AR530" s="649"/>
    </row>
    <row r="531" spans="3:44" ht="15.75" x14ac:dyDescent="0.25">
      <c r="C531" s="594"/>
      <c r="D531" s="532"/>
      <c r="E531" s="448"/>
      <c r="F531" s="416"/>
      <c r="G531" s="416"/>
      <c r="H531" s="829"/>
      <c r="I531" s="532"/>
      <c r="J531" s="417"/>
      <c r="K531" s="553"/>
      <c r="L531" s="416"/>
      <c r="M531" s="691"/>
      <c r="N531" s="367"/>
      <c r="O531" s="450" t="s">
        <v>5</v>
      </c>
      <c r="P531" s="532">
        <f>M529</f>
        <v>209.64294289997142</v>
      </c>
      <c r="Q531" s="417">
        <f>P531/P531</f>
        <v>1</v>
      </c>
      <c r="R531" s="532">
        <f>D529</f>
        <v>748.72479607132652</v>
      </c>
      <c r="S531" s="448">
        <f>R531/R531</f>
        <v>1</v>
      </c>
      <c r="T531" s="524"/>
      <c r="U531" s="497" t="str">
        <f t="shared" si="294"/>
        <v>Electric trains</v>
      </c>
      <c r="V531" s="375">
        <f>V391</f>
        <v>0</v>
      </c>
      <c r="W531" s="532"/>
      <c r="X531" s="4"/>
      <c r="Y531" s="4"/>
      <c r="Z531" s="432"/>
      <c r="AA531" s="432"/>
      <c r="AB531" s="432">
        <f>L529</f>
        <v>103.6</v>
      </c>
      <c r="AC531" s="432">
        <f>K529</f>
        <v>0.27999999999999997</v>
      </c>
      <c r="AD531" s="748">
        <f>AC531*D529*V531</f>
        <v>0</v>
      </c>
      <c r="AE531" s="725"/>
      <c r="AF531" s="721"/>
      <c r="AG531" s="721"/>
      <c r="AH531" s="721"/>
      <c r="AI531" s="721"/>
      <c r="AJ531" s="721"/>
      <c r="AK531" s="721"/>
      <c r="AL531" s="721"/>
      <c r="AM531" s="721"/>
      <c r="AN531" s="721"/>
      <c r="AO531" s="721"/>
      <c r="AP531" s="722">
        <f>+AD531</f>
        <v>0</v>
      </c>
      <c r="AQ531" s="721"/>
      <c r="AR531" s="649"/>
    </row>
    <row r="532" spans="3:44" ht="15.75" x14ac:dyDescent="0.25">
      <c r="C532" s="594"/>
      <c r="D532" s="532"/>
      <c r="E532" s="448"/>
      <c r="F532" s="416"/>
      <c r="G532" s="405"/>
      <c r="H532" s="829"/>
      <c r="I532" s="532"/>
      <c r="J532" s="417"/>
      <c r="K532" s="553"/>
      <c r="L532" s="432"/>
      <c r="M532" s="532"/>
      <c r="N532" s="367"/>
      <c r="T532" s="524"/>
      <c r="U532" s="497" t="str">
        <f t="shared" si="294"/>
        <v>Diesel trains</v>
      </c>
      <c r="V532" s="375">
        <f>V392</f>
        <v>0</v>
      </c>
      <c r="W532" s="532">
        <f>AB532*74</f>
        <v>15560.572</v>
      </c>
      <c r="X532" s="4"/>
      <c r="Y532" s="4"/>
      <c r="Z532" s="432"/>
      <c r="AA532" s="432"/>
      <c r="AB532" s="432">
        <f>AB530</f>
        <v>210.27799999999999</v>
      </c>
      <c r="AC532" s="432">
        <f>AC530</f>
        <v>0.75775855855855856</v>
      </c>
      <c r="AD532" s="748">
        <f>AC532*D529*V532</f>
        <v>0</v>
      </c>
      <c r="AE532" s="725"/>
      <c r="AF532" s="722">
        <f>AD532</f>
        <v>0</v>
      </c>
      <c r="AG532" s="721"/>
      <c r="AH532" s="721"/>
      <c r="AI532" s="721"/>
      <c r="AJ532" s="721"/>
      <c r="AK532" s="721"/>
      <c r="AL532" s="721"/>
      <c r="AM532" s="721"/>
      <c r="AN532" s="721"/>
      <c r="AO532" s="721"/>
      <c r="AP532" s="721"/>
      <c r="AQ532" s="721"/>
      <c r="AR532" s="649"/>
    </row>
    <row r="533" spans="3:44" ht="16.5" thickBot="1" x14ac:dyDescent="0.3">
      <c r="C533" s="594"/>
      <c r="D533" s="532"/>
      <c r="E533" s="448"/>
      <c r="F533" s="416"/>
      <c r="G533" s="405"/>
      <c r="H533" s="829"/>
      <c r="I533" s="532"/>
      <c r="J533" s="417"/>
      <c r="K533" s="553"/>
      <c r="L533" s="432"/>
      <c r="M533" s="532"/>
      <c r="N533" s="367"/>
      <c r="T533" s="524"/>
      <c r="U533" s="497" t="str">
        <f t="shared" si="294"/>
        <v>Bio-methanol trains</v>
      </c>
      <c r="V533" s="295">
        <f>V393</f>
        <v>0</v>
      </c>
      <c r="W533" s="532"/>
      <c r="X533" s="4"/>
      <c r="Y533" s="4"/>
      <c r="Z533" s="432"/>
      <c r="AA533" s="432"/>
      <c r="AB533" s="432">
        <f>AB532</f>
        <v>210.27799999999999</v>
      </c>
      <c r="AC533" s="432">
        <f>AC532</f>
        <v>0.75775855855855856</v>
      </c>
      <c r="AD533" s="748">
        <f>AC533*D529*V533</f>
        <v>0</v>
      </c>
      <c r="AE533" s="725"/>
      <c r="AF533" s="721"/>
      <c r="AG533" s="721"/>
      <c r="AH533" s="721"/>
      <c r="AI533" s="722">
        <f>AD533</f>
        <v>0</v>
      </c>
      <c r="AJ533" s="721"/>
      <c r="AK533" s="721"/>
      <c r="AL533" s="721"/>
      <c r="AM533" s="721"/>
      <c r="AN533" s="721"/>
      <c r="AO533" s="721"/>
      <c r="AP533" s="721"/>
      <c r="AQ533" s="721"/>
      <c r="AR533" s="649"/>
    </row>
    <row r="534" spans="3:44" ht="16.5" thickBot="1" x14ac:dyDescent="0.3">
      <c r="C534" s="594"/>
      <c r="D534" s="532"/>
      <c r="E534" s="448"/>
      <c r="F534" s="416"/>
      <c r="G534" s="404"/>
      <c r="H534" s="830"/>
      <c r="I534" s="705"/>
      <c r="J534" s="458"/>
      <c r="K534" s="553"/>
      <c r="L534" s="432"/>
      <c r="M534" s="532"/>
      <c r="N534" s="367"/>
      <c r="T534" s="523"/>
      <c r="U534" s="497" t="str">
        <f t="shared" si="294"/>
        <v>No shift in technology</v>
      </c>
      <c r="V534" s="410">
        <f>1-SUM(V530:V533)</f>
        <v>1</v>
      </c>
      <c r="W534" s="705"/>
      <c r="X534" s="384"/>
      <c r="Y534" s="384"/>
      <c r="Z534" s="384"/>
      <c r="AA534" s="384"/>
      <c r="AB534" s="439">
        <f>L529</f>
        <v>103.6</v>
      </c>
      <c r="AC534" s="439">
        <f>K529</f>
        <v>0.27999999999999997</v>
      </c>
      <c r="AD534" s="748">
        <f>AC534*V534*D529</f>
        <v>209.64294289997142</v>
      </c>
      <c r="AE534" s="732"/>
      <c r="AF534" s="729">
        <f>+AD534*Q530</f>
        <v>0</v>
      </c>
      <c r="AG534" s="730"/>
      <c r="AH534" s="730"/>
      <c r="AI534" s="730"/>
      <c r="AJ534" s="730"/>
      <c r="AK534" s="730"/>
      <c r="AL534" s="730"/>
      <c r="AM534" s="730"/>
      <c r="AN534" s="730"/>
      <c r="AO534" s="730"/>
      <c r="AP534" s="729">
        <f>AD534*Q531</f>
        <v>209.64294289997142</v>
      </c>
      <c r="AQ534" s="730"/>
      <c r="AR534" s="652"/>
    </row>
    <row r="535" spans="3:44" ht="16.5" thickBot="1" x14ac:dyDescent="0.3">
      <c r="C535" s="598" t="str">
        <f>C395</f>
        <v>National air</v>
      </c>
      <c r="D535" s="693">
        <f>((D395*(1+'Growth, Modal Shift, InfraCosts'!K62)^'Growth, Modal Shift, InfraCosts'!$L$4))</f>
        <v>1.107</v>
      </c>
      <c r="E535" s="392">
        <f>D535/D561</f>
        <v>6.7566857955938449E-6</v>
      </c>
      <c r="F535" s="56">
        <v>25</v>
      </c>
      <c r="G535" s="453">
        <v>0.6</v>
      </c>
      <c r="H535" s="820">
        <f>F535*G535</f>
        <v>15</v>
      </c>
      <c r="I535" s="529">
        <f>D535/H535</f>
        <v>7.3800000000000004E-2</v>
      </c>
      <c r="J535" s="539">
        <f>I535/I561</f>
        <v>3.8037549513320467E-6</v>
      </c>
      <c r="K535" s="552">
        <f>L535/H535</f>
        <v>5.3819860917372386</v>
      </c>
      <c r="L535" s="452">
        <f>L115*$AZ$10</f>
        <v>80.729791376058586</v>
      </c>
      <c r="M535" s="693">
        <f>D535*K535</f>
        <v>5.9578586035531229</v>
      </c>
      <c r="N535" s="413">
        <f>M535/M561</f>
        <v>4.8129224951295106E-5</v>
      </c>
      <c r="O535" s="682" t="s">
        <v>60</v>
      </c>
      <c r="P535" s="759">
        <f>SUM(P536)</f>
        <v>5.9578586035531229</v>
      </c>
      <c r="Q535" s="801">
        <f>SUM(Q536)</f>
        <v>1</v>
      </c>
      <c r="R535" s="759">
        <f>SUM(R536)</f>
        <v>1.107</v>
      </c>
      <c r="S535" s="801">
        <f>SUM(S536)</f>
        <v>1</v>
      </c>
      <c r="T535" s="680"/>
      <c r="U535" s="778" t="str">
        <f t="shared" si="294"/>
        <v>Sum</v>
      </c>
      <c r="V535" s="890"/>
      <c r="W535" s="762"/>
      <c r="X535" s="447"/>
      <c r="Y535" s="619"/>
      <c r="Z535" s="447"/>
      <c r="AA535" s="447"/>
      <c r="AB535" s="447"/>
      <c r="AC535" s="447"/>
      <c r="AD535" s="749">
        <f>SUM(AD536:AD538)</f>
        <v>5.9578586035531229</v>
      </c>
      <c r="AE535" s="720"/>
      <c r="AF535" s="721"/>
      <c r="AG535" s="721"/>
      <c r="AH535" s="721"/>
      <c r="AI535" s="721"/>
      <c r="AJ535" s="721"/>
      <c r="AK535" s="721"/>
      <c r="AL535" s="721"/>
      <c r="AM535" s="721"/>
      <c r="AN535" s="721"/>
      <c r="AO535" s="721"/>
      <c r="AP535" s="721"/>
      <c r="AQ535" s="721"/>
      <c r="AR535" s="651"/>
    </row>
    <row r="536" spans="3:44" ht="15.75" x14ac:dyDescent="0.25">
      <c r="C536" s="595"/>
      <c r="D536" s="532"/>
      <c r="E536" s="448"/>
      <c r="F536" s="416"/>
      <c r="G536" s="405"/>
      <c r="H536" s="829"/>
      <c r="I536" s="532"/>
      <c r="J536" s="417"/>
      <c r="K536" s="553"/>
      <c r="L536" s="432"/>
      <c r="M536" s="770"/>
      <c r="N536" s="367"/>
      <c r="O536" s="450" t="s">
        <v>4</v>
      </c>
      <c r="P536" s="532">
        <f>M535</f>
        <v>5.9578586035531229</v>
      </c>
      <c r="Q536" s="436">
        <f>P536/P536</f>
        <v>1</v>
      </c>
      <c r="R536" s="532">
        <f>D535</f>
        <v>1.107</v>
      </c>
      <c r="S536" s="448">
        <f>R536/R536</f>
        <v>1</v>
      </c>
      <c r="T536" s="525"/>
      <c r="U536" s="1558" t="str">
        <f t="shared" si="294"/>
        <v>Gas-turbines Bio-jetfuel</v>
      </c>
      <c r="V536" s="294">
        <f>V396</f>
        <v>0</v>
      </c>
      <c r="W536" s="532"/>
      <c r="X536" s="4"/>
      <c r="Y536" s="4"/>
      <c r="Z536" s="4"/>
      <c r="AA536" s="421">
        <f>1/AB536</f>
        <v>1.2387000919422199E-2</v>
      </c>
      <c r="AB536" s="416">
        <f>AB538</f>
        <v>80.729791376058586</v>
      </c>
      <c r="AC536" s="411">
        <f>AC538</f>
        <v>5.3819860917372386</v>
      </c>
      <c r="AD536" s="748">
        <f>AC536*D535*V536</f>
        <v>0</v>
      </c>
      <c r="AE536" s="720"/>
      <c r="AF536" s="733"/>
      <c r="AG536" s="733"/>
      <c r="AH536" s="733"/>
      <c r="AI536" s="733"/>
      <c r="AJ536" s="733"/>
      <c r="AK536" s="733"/>
      <c r="AL536" s="733"/>
      <c r="AM536" s="722">
        <f>AD536</f>
        <v>0</v>
      </c>
      <c r="AN536" s="721"/>
      <c r="AO536" s="721"/>
      <c r="AP536" s="721"/>
      <c r="AQ536" s="721"/>
      <c r="AR536" s="649"/>
    </row>
    <row r="537" spans="3:44" ht="16.5" thickBot="1" x14ac:dyDescent="0.3">
      <c r="C537" s="595"/>
      <c r="D537" s="532"/>
      <c r="E537" s="546"/>
      <c r="F537" s="364"/>
      <c r="G537" s="381"/>
      <c r="H537" s="827"/>
      <c r="I537" s="538"/>
      <c r="J537" s="473"/>
      <c r="K537" s="553"/>
      <c r="L537" s="432"/>
      <c r="M537" s="770"/>
      <c r="N537" s="367"/>
      <c r="T537" s="524"/>
      <c r="U537" s="1558" t="s">
        <v>98</v>
      </c>
      <c r="V537" s="1578">
        <f>V397</f>
        <v>0</v>
      </c>
      <c r="W537" s="532"/>
      <c r="X537" s="612"/>
      <c r="Y537" s="612"/>
      <c r="Z537" s="421"/>
      <c r="AA537" s="421">
        <f>1/AB537</f>
        <v>1.2387000919422199E-2</v>
      </c>
      <c r="AB537" s="416">
        <f>AB538</f>
        <v>80.729791376058586</v>
      </c>
      <c r="AC537" s="411">
        <f>AC538</f>
        <v>5.3819860917372386</v>
      </c>
      <c r="AD537" s="748">
        <f>AC537*D535*V537</f>
        <v>0</v>
      </c>
      <c r="AE537" s="736"/>
      <c r="AF537" s="733"/>
      <c r="AG537" s="733"/>
      <c r="AH537" s="733"/>
      <c r="AI537" s="733"/>
      <c r="AJ537" s="733"/>
      <c r="AK537" s="733"/>
      <c r="AL537" s="733"/>
      <c r="AM537" s="733"/>
      <c r="AN537" s="721"/>
      <c r="AO537" s="721"/>
      <c r="AP537" s="721"/>
      <c r="AQ537" s="722">
        <f>AD537</f>
        <v>0</v>
      </c>
      <c r="AR537" s="649"/>
    </row>
    <row r="538" spans="3:44" ht="16.5" thickBot="1" x14ac:dyDescent="0.3">
      <c r="C538" s="595"/>
      <c r="D538" s="532"/>
      <c r="E538" s="546"/>
      <c r="F538" s="364"/>
      <c r="G538" s="665"/>
      <c r="H538" s="1356"/>
      <c r="I538" s="692"/>
      <c r="J538" s="663"/>
      <c r="K538" s="553"/>
      <c r="L538" s="432"/>
      <c r="M538" s="770"/>
      <c r="N538" s="367"/>
      <c r="O538" s="450"/>
      <c r="P538" s="532"/>
      <c r="Q538" s="417"/>
      <c r="R538" s="532"/>
      <c r="S538" s="417"/>
      <c r="T538" s="523"/>
      <c r="U538" s="779" t="str">
        <f t="shared" ref="U538:U560" si="295">U398</f>
        <v>No shift in technology</v>
      </c>
      <c r="V538" s="887">
        <f>1-SUM(V536:V537)</f>
        <v>1</v>
      </c>
      <c r="W538" s="705">
        <f>AB538*72</f>
        <v>5812.5449790762177</v>
      </c>
      <c r="X538" s="384"/>
      <c r="Y538" s="384"/>
      <c r="Z538" s="384"/>
      <c r="AA538" s="454">
        <f>1/AB538</f>
        <v>1.2387000919422199E-2</v>
      </c>
      <c r="AB538" s="385">
        <f>L535</f>
        <v>80.729791376058586</v>
      </c>
      <c r="AC538" s="406">
        <f>K535</f>
        <v>5.3819860917372386</v>
      </c>
      <c r="AD538" s="747">
        <f>AC538*V538*D535</f>
        <v>5.9578586035531229</v>
      </c>
      <c r="AE538" s="734"/>
      <c r="AF538" s="735"/>
      <c r="AG538" s="729">
        <f>+AD538</f>
        <v>5.9578586035531229</v>
      </c>
      <c r="AH538" s="735"/>
      <c r="AI538" s="735"/>
      <c r="AJ538" s="730"/>
      <c r="AK538" s="730"/>
      <c r="AL538" s="730"/>
      <c r="AM538" s="730"/>
      <c r="AN538" s="730"/>
      <c r="AO538" s="730"/>
      <c r="AP538" s="730"/>
      <c r="AQ538" s="730"/>
      <c r="AR538" s="652"/>
    </row>
    <row r="539" spans="3:44" ht="16.5" thickBot="1" x14ac:dyDescent="0.3">
      <c r="C539" s="593" t="str">
        <f>C399</f>
        <v>International air</v>
      </c>
      <c r="D539" s="693">
        <f>((D399*(1+'Growth, Modal Shift, InfraCosts'!K63)^'Growth, Modal Shift, InfraCosts'!$L$4))</f>
        <v>1164.6830161109524</v>
      </c>
      <c r="E539" s="1331">
        <f>D539/D561</f>
        <v>7.1087598837635676E-3</v>
      </c>
      <c r="F539" s="1380">
        <v>50</v>
      </c>
      <c r="G539" s="453">
        <v>0.6</v>
      </c>
      <c r="H539" s="1337">
        <f>F539*G539</f>
        <v>30</v>
      </c>
      <c r="I539" s="757">
        <f>D539/H539</f>
        <v>38.822767203698412</v>
      </c>
      <c r="J539" s="809">
        <f>I539/I561</f>
        <v>2.0009795796135394E-3</v>
      </c>
      <c r="K539" s="552">
        <f>L539/H539</f>
        <v>5.3819860917372386</v>
      </c>
      <c r="L539" s="452">
        <f>L119*$AZ$10</f>
        <v>161.45958275211717</v>
      </c>
      <c r="M539" s="693">
        <f>D539*K539</f>
        <v>6268.3077939917239</v>
      </c>
      <c r="N539" s="413">
        <f>M539/M561</f>
        <v>5.0637119132210376E-2</v>
      </c>
      <c r="O539" s="682" t="s">
        <v>60</v>
      </c>
      <c r="P539" s="759">
        <f>SUM(P540)</f>
        <v>6268.3077939917239</v>
      </c>
      <c r="Q539" s="801">
        <f>SUM(Q540)</f>
        <v>1</v>
      </c>
      <c r="R539" s="759">
        <f>SUM(R540)</f>
        <v>1164.6830161109524</v>
      </c>
      <c r="S539" s="801">
        <f>SUM(S540)</f>
        <v>1</v>
      </c>
      <c r="T539" s="680"/>
      <c r="U539" s="777" t="str">
        <f t="shared" si="295"/>
        <v>Sum</v>
      </c>
      <c r="V539" s="619"/>
      <c r="W539" s="762"/>
      <c r="X539" s="447"/>
      <c r="Y539" s="619"/>
      <c r="Z539" s="447"/>
      <c r="AA539" s="447"/>
      <c r="AB539" s="447"/>
      <c r="AC539" s="447"/>
      <c r="AD539" s="749">
        <f>SUM(AD540:AD542)</f>
        <v>6268.3077939917239</v>
      </c>
      <c r="AE539" s="725"/>
      <c r="AF539" s="721"/>
      <c r="AG539" s="721"/>
      <c r="AH539" s="721"/>
      <c r="AI539" s="721"/>
      <c r="AJ539" s="721"/>
      <c r="AK539" s="721"/>
      <c r="AL539" s="721"/>
      <c r="AM539" s="721"/>
      <c r="AN539" s="721"/>
      <c r="AO539" s="721"/>
      <c r="AP539" s="721"/>
      <c r="AQ539" s="721"/>
      <c r="AR539" s="651"/>
    </row>
    <row r="540" spans="3:44" ht="15.75" x14ac:dyDescent="0.25">
      <c r="C540" s="594"/>
      <c r="D540" s="532"/>
      <c r="E540" s="546"/>
      <c r="F540" s="364"/>
      <c r="G540" s="381"/>
      <c r="H540" s="827"/>
      <c r="I540" s="538"/>
      <c r="J540" s="473"/>
      <c r="K540" s="553"/>
      <c r="L540" s="432"/>
      <c r="M540" s="770"/>
      <c r="N540" s="367"/>
      <c r="O540" s="450" t="s">
        <v>4</v>
      </c>
      <c r="P540" s="532">
        <f>M539</f>
        <v>6268.3077939917239</v>
      </c>
      <c r="Q540" s="436">
        <f>P540/P540</f>
        <v>1</v>
      </c>
      <c r="R540" s="532">
        <f>D539</f>
        <v>1164.6830161109524</v>
      </c>
      <c r="S540" s="448">
        <f>R540/R540</f>
        <v>1</v>
      </c>
      <c r="T540" s="525"/>
      <c r="U540" s="1555" t="str">
        <f t="shared" si="295"/>
        <v>Gas-turbines Bio-jetfuel</v>
      </c>
      <c r="V540" s="294">
        <f>V400</f>
        <v>0</v>
      </c>
      <c r="W540" s="532"/>
      <c r="X540" s="4"/>
      <c r="Y540" s="4"/>
      <c r="Z540" s="4"/>
      <c r="AA540" s="421">
        <f>1/AB540</f>
        <v>6.1935004597110993E-3</v>
      </c>
      <c r="AB540" s="416">
        <f>AB542</f>
        <v>161.45958275211717</v>
      </c>
      <c r="AC540" s="411">
        <f>AC542</f>
        <v>5.3819860917372386</v>
      </c>
      <c r="AD540" s="748">
        <f>AC540*D539*V540</f>
        <v>0</v>
      </c>
      <c r="AE540" s="720"/>
      <c r="AF540" s="733"/>
      <c r="AG540" s="733"/>
      <c r="AH540" s="733"/>
      <c r="AI540" s="733"/>
      <c r="AJ540" s="733"/>
      <c r="AK540" s="733"/>
      <c r="AL540" s="733"/>
      <c r="AM540" s="722">
        <f>AD540</f>
        <v>0</v>
      </c>
      <c r="AN540" s="721"/>
      <c r="AO540" s="721"/>
      <c r="AP540" s="721"/>
      <c r="AQ540" s="721"/>
      <c r="AR540" s="649"/>
    </row>
    <row r="541" spans="3:44" ht="16.5" thickBot="1" x14ac:dyDescent="0.3">
      <c r="C541" s="594"/>
      <c r="D541" s="532"/>
      <c r="E541" s="546"/>
      <c r="F541" s="364"/>
      <c r="G541" s="381"/>
      <c r="H541" s="827"/>
      <c r="I541" s="538"/>
      <c r="J541" s="473"/>
      <c r="K541" s="553"/>
      <c r="L541" s="432"/>
      <c r="M541" s="770"/>
      <c r="N541" s="367"/>
      <c r="T541" s="524"/>
      <c r="U541" s="1558" t="str">
        <f t="shared" si="295"/>
        <v>Gas-turbines Syn-jetfuel</v>
      </c>
      <c r="V541" s="1578">
        <f>V401</f>
        <v>0</v>
      </c>
      <c r="W541" s="532"/>
      <c r="X541" s="612"/>
      <c r="Y541" s="612"/>
      <c r="Z541" s="421"/>
      <c r="AA541" s="421">
        <f>1/AB541</f>
        <v>6.1935004597110993E-3</v>
      </c>
      <c r="AB541" s="416">
        <f>AB542</f>
        <v>161.45958275211717</v>
      </c>
      <c r="AC541" s="411">
        <f>AC542</f>
        <v>5.3819860917372386</v>
      </c>
      <c r="AD541" s="748">
        <f>AC541*D539*V541</f>
        <v>0</v>
      </c>
      <c r="AE541" s="736"/>
      <c r="AF541" s="733"/>
      <c r="AG541" s="733"/>
      <c r="AH541" s="733"/>
      <c r="AI541" s="733"/>
      <c r="AJ541" s="733"/>
      <c r="AK541" s="733"/>
      <c r="AL541" s="733"/>
      <c r="AM541" s="733"/>
      <c r="AN541" s="721"/>
      <c r="AO541" s="721"/>
      <c r="AP541" s="721"/>
      <c r="AQ541" s="722">
        <f>AD541</f>
        <v>0</v>
      </c>
      <c r="AR541" s="649"/>
    </row>
    <row r="542" spans="3:44" ht="16.5" thickBot="1" x14ac:dyDescent="0.3">
      <c r="C542" s="599"/>
      <c r="D542" s="705"/>
      <c r="E542" s="548"/>
      <c r="F542" s="385"/>
      <c r="G542" s="665"/>
      <c r="H542" s="1356"/>
      <c r="I542" s="692"/>
      <c r="J542" s="663"/>
      <c r="K542" s="554"/>
      <c r="L542" s="439"/>
      <c r="M542" s="771"/>
      <c r="N542" s="785"/>
      <c r="O542" s="457"/>
      <c r="P542" s="705"/>
      <c r="Q542" s="443"/>
      <c r="R542" s="705"/>
      <c r="S542" s="458"/>
      <c r="T542" s="523"/>
      <c r="U542" s="780" t="str">
        <f t="shared" si="295"/>
        <v>No shift in technology</v>
      </c>
      <c r="V542" s="887">
        <f>1-SUM(V540:V541)</f>
        <v>1</v>
      </c>
      <c r="W542" s="705">
        <f>AB542*72</f>
        <v>11625.089958152435</v>
      </c>
      <c r="X542" s="384"/>
      <c r="Y542" s="384"/>
      <c r="Z542" s="384"/>
      <c r="AA542" s="454">
        <f>1/AB542</f>
        <v>6.1935004597110993E-3</v>
      </c>
      <c r="AB542" s="385">
        <f>L539</f>
        <v>161.45958275211717</v>
      </c>
      <c r="AC542" s="406">
        <f>K539</f>
        <v>5.3819860917372386</v>
      </c>
      <c r="AD542" s="747">
        <f>AC542*V542*D539</f>
        <v>6268.3077939917239</v>
      </c>
      <c r="AE542" s="734"/>
      <c r="AF542" s="735"/>
      <c r="AG542" s="729">
        <f>+AD542</f>
        <v>6268.3077939917239</v>
      </c>
      <c r="AH542" s="735"/>
      <c r="AI542" s="735"/>
      <c r="AJ542" s="730"/>
      <c r="AK542" s="730"/>
      <c r="AL542" s="730"/>
      <c r="AM542" s="730"/>
      <c r="AN542" s="730"/>
      <c r="AO542" s="730"/>
      <c r="AP542" s="730"/>
      <c r="AQ542" s="730"/>
      <c r="AR542" s="652"/>
    </row>
    <row r="543" spans="3:44" ht="16.5" thickBot="1" x14ac:dyDescent="0.3">
      <c r="C543" s="598" t="str">
        <f>C403</f>
        <v>National sea</v>
      </c>
      <c r="D543" s="693">
        <f>((D403*(1+'Growth, Modal Shift, InfraCosts'!K64)^'Growth, Modal Shift, InfraCosts'!$L$4))</f>
        <v>2753.5062396908893</v>
      </c>
      <c r="E543" s="1331">
        <f>D543/D561</f>
        <v>1.6806302166032929E-2</v>
      </c>
      <c r="F543" s="757">
        <v>20000</v>
      </c>
      <c r="G543" s="453">
        <v>0.6</v>
      </c>
      <c r="H543" s="757">
        <f>F543*G543</f>
        <v>12000</v>
      </c>
      <c r="I543" s="757">
        <f>D543/H543</f>
        <v>0.2294588533075741</v>
      </c>
      <c r="J543" s="809">
        <f>I543/I561</f>
        <v>1.1826629395605131E-5</v>
      </c>
      <c r="K543" s="552">
        <f>L543/H543</f>
        <v>0.17565846407771291</v>
      </c>
      <c r="L543" s="452">
        <f>L123*$AZ$8</f>
        <v>2107.9015689325547</v>
      </c>
      <c r="M543" s="693">
        <f>D543*K543</f>
        <v>483.67667689250044</v>
      </c>
      <c r="N543" s="413">
        <f>M543/M561</f>
        <v>3.9072735918860187E-3</v>
      </c>
      <c r="O543" s="682" t="s">
        <v>60</v>
      </c>
      <c r="P543" s="759">
        <f>SUM(P544)</f>
        <v>483.67667689250044</v>
      </c>
      <c r="Q543" s="801">
        <f>SUM(Q544)</f>
        <v>1</v>
      </c>
      <c r="R543" s="759">
        <f>SUM(R544)</f>
        <v>2753.5062396908893</v>
      </c>
      <c r="S543" s="801">
        <f>SUM(S544)</f>
        <v>1</v>
      </c>
      <c r="T543" s="680"/>
      <c r="U543" s="1556" t="str">
        <f t="shared" si="295"/>
        <v xml:space="preserve">Sum </v>
      </c>
      <c r="V543" s="619"/>
      <c r="W543" s="538"/>
      <c r="X543" s="369"/>
      <c r="Y543" s="369"/>
      <c r="Z543" s="363"/>
      <c r="AA543" s="363"/>
      <c r="AB543" s="364"/>
      <c r="AC543" s="411"/>
      <c r="AD543" s="748">
        <f>SUM(AD544:AD547)</f>
        <v>483.67667689250044</v>
      </c>
      <c r="AE543" s="725"/>
      <c r="AF543" s="733"/>
      <c r="AG543" s="733"/>
      <c r="AH543" s="733"/>
      <c r="AI543" s="733"/>
      <c r="AJ543" s="733"/>
      <c r="AK543" s="733"/>
      <c r="AL543" s="733"/>
      <c r="AM543" s="733"/>
      <c r="AN543" s="721"/>
      <c r="AO543" s="721"/>
      <c r="AP543" s="721"/>
      <c r="AQ543" s="723"/>
      <c r="AR543" s="654"/>
    </row>
    <row r="544" spans="3:44" ht="15.75" x14ac:dyDescent="0.25">
      <c r="C544" s="595"/>
      <c r="D544" s="532"/>
      <c r="E544" s="546"/>
      <c r="F544" s="364"/>
      <c r="G544" s="381"/>
      <c r="H544" s="538"/>
      <c r="I544" s="538"/>
      <c r="J544" s="473"/>
      <c r="K544" s="553"/>
      <c r="L544" s="432"/>
      <c r="M544" s="532"/>
      <c r="N544" s="367"/>
      <c r="O544" s="450" t="s">
        <v>3</v>
      </c>
      <c r="P544" s="532">
        <f>M543</f>
        <v>483.67667689250044</v>
      </c>
      <c r="Q544" s="436">
        <f>P544/P544</f>
        <v>1</v>
      </c>
      <c r="R544" s="532">
        <f>D543</f>
        <v>2753.5062396908893</v>
      </c>
      <c r="S544" s="448">
        <f>R544/R544</f>
        <v>1</v>
      </c>
      <c r="T544" s="525"/>
      <c r="U544" s="497" t="str">
        <f t="shared" si="295"/>
        <v>Bio-methanol</v>
      </c>
      <c r="V544" s="294">
        <f>V404</f>
        <v>0</v>
      </c>
      <c r="W544" s="538"/>
      <c r="X544" s="369"/>
      <c r="Y544" s="369"/>
      <c r="Z544" s="613"/>
      <c r="AA544" s="613"/>
      <c r="AB544" s="416">
        <f t="shared" ref="AB544:AC546" si="296">AB545</f>
        <v>2107.9015689325547</v>
      </c>
      <c r="AC544" s="616">
        <f t="shared" si="296"/>
        <v>0.17565846407771291</v>
      </c>
      <c r="AD544" s="748">
        <f>AC544*D543*V544</f>
        <v>0</v>
      </c>
      <c r="AE544" s="720"/>
      <c r="AF544" s="733"/>
      <c r="AG544" s="733"/>
      <c r="AI544" s="738">
        <f>AD544</f>
        <v>0</v>
      </c>
      <c r="AJ544" s="733"/>
      <c r="AK544" s="733"/>
      <c r="AL544" s="733"/>
      <c r="AM544" s="733"/>
      <c r="AN544" s="721"/>
      <c r="AO544" s="721"/>
      <c r="AP544" s="721"/>
      <c r="AQ544" s="723"/>
      <c r="AR544" s="654"/>
    </row>
    <row r="545" spans="3:44" ht="15.75" x14ac:dyDescent="0.25">
      <c r="C545" s="595"/>
      <c r="D545" s="532"/>
      <c r="E545" s="546"/>
      <c r="F545" s="364"/>
      <c r="G545" s="381"/>
      <c r="H545" s="538"/>
      <c r="I545" s="538"/>
      <c r="J545" s="473"/>
      <c r="K545" s="553"/>
      <c r="L545" s="432"/>
      <c r="M545" s="532"/>
      <c r="N545" s="367"/>
      <c r="T545" s="525"/>
      <c r="U545" s="497" t="str">
        <f t="shared" si="295"/>
        <v>Gasturbine biogas</v>
      </c>
      <c r="V545" s="375">
        <f>V405</f>
        <v>0</v>
      </c>
      <c r="W545" s="538"/>
      <c r="X545" s="369"/>
      <c r="Y545" s="369"/>
      <c r="Z545" s="613"/>
      <c r="AA545" s="613"/>
      <c r="AB545" s="416">
        <f t="shared" si="296"/>
        <v>2107.9015689325547</v>
      </c>
      <c r="AC545" s="616">
        <f t="shared" si="296"/>
        <v>0.17565846407771291</v>
      </c>
      <c r="AD545" s="748">
        <f>AC545*D543*V545</f>
        <v>0</v>
      </c>
      <c r="AE545" s="720"/>
      <c r="AF545" s="733"/>
      <c r="AG545" s="733"/>
      <c r="AH545" s="721"/>
      <c r="AI545" s="721"/>
      <c r="AJ545" s="721"/>
      <c r="AK545" s="721"/>
      <c r="AL545" s="738">
        <f>AD545</f>
        <v>0</v>
      </c>
      <c r="AM545" s="721"/>
      <c r="AN545" s="721"/>
      <c r="AO545" s="721"/>
      <c r="AP545" s="721"/>
      <c r="AQ545" s="723"/>
      <c r="AR545" s="654"/>
    </row>
    <row r="546" spans="3:44" ht="16.5" thickBot="1" x14ac:dyDescent="0.3">
      <c r="C546" s="595"/>
      <c r="D546" s="532"/>
      <c r="E546" s="546"/>
      <c r="F546" s="364"/>
      <c r="G546" s="381"/>
      <c r="H546" s="538"/>
      <c r="I546" s="538"/>
      <c r="J546" s="473"/>
      <c r="K546" s="553"/>
      <c r="L546" s="432"/>
      <c r="M546" s="532"/>
      <c r="N546" s="367"/>
      <c r="O546" s="450"/>
      <c r="P546" s="532"/>
      <c r="Q546" s="417"/>
      <c r="R546" s="532"/>
      <c r="S546" s="417"/>
      <c r="T546" s="524"/>
      <c r="U546" s="497" t="str">
        <f t="shared" si="295"/>
        <v>Syn-methanol</v>
      </c>
      <c r="V546" s="1578">
        <f>V406</f>
        <v>0</v>
      </c>
      <c r="W546" s="517"/>
      <c r="AB546" s="416">
        <f t="shared" si="296"/>
        <v>2107.9015689325547</v>
      </c>
      <c r="AC546" s="616">
        <f t="shared" si="296"/>
        <v>0.17565846407771291</v>
      </c>
      <c r="AD546" s="748">
        <f>AC546*D543*V546</f>
        <v>0</v>
      </c>
      <c r="AE546" s="720"/>
      <c r="AF546" s="733"/>
      <c r="AG546" s="733"/>
      <c r="AH546" s="738">
        <f>AD546</f>
        <v>0</v>
      </c>
      <c r="AI546" s="721"/>
      <c r="AJ546" s="721"/>
      <c r="AK546" s="721"/>
      <c r="AL546" s="721"/>
      <c r="AM546" s="721"/>
      <c r="AN546" s="721"/>
      <c r="AO546" s="721"/>
      <c r="AP546" s="721"/>
      <c r="AQ546" s="721"/>
      <c r="AR546" s="649"/>
    </row>
    <row r="547" spans="3:44" ht="16.5" thickBot="1" x14ac:dyDescent="0.3">
      <c r="C547" s="595"/>
      <c r="D547" s="532"/>
      <c r="E547" s="546"/>
      <c r="F547" s="385"/>
      <c r="G547" s="665"/>
      <c r="H547" s="692"/>
      <c r="I547" s="692"/>
      <c r="J547" s="663"/>
      <c r="K547" s="553"/>
      <c r="L547" s="432"/>
      <c r="M547" s="532"/>
      <c r="N547" s="367"/>
      <c r="O547" s="457"/>
      <c r="P547" s="705"/>
      <c r="Q547" s="458"/>
      <c r="R547" s="705"/>
      <c r="S547" s="458"/>
      <c r="T547" s="527"/>
      <c r="U547" s="1559" t="str">
        <f t="shared" si="295"/>
        <v>No shift in technology</v>
      </c>
      <c r="V547" s="459">
        <f>1-SUM(V544:V546)</f>
        <v>1</v>
      </c>
      <c r="W547" s="692">
        <f>AB547*78</f>
        <v>164416.32237673926</v>
      </c>
      <c r="X547" s="408"/>
      <c r="Y547" s="408"/>
      <c r="Z547" s="454"/>
      <c r="AA547" s="454"/>
      <c r="AB547" s="440">
        <f>((I543*L543)+(I547*L547))/SUM(I543+I547)</f>
        <v>2107.9015689325547</v>
      </c>
      <c r="AC547" s="406">
        <f>((K543*D543)+(K547*D547))/SUM(D543,D547)</f>
        <v>0.17565846407771291</v>
      </c>
      <c r="AD547" s="747">
        <f>(V547*D543*AC547)</f>
        <v>483.67667689250044</v>
      </c>
      <c r="AE547" s="734"/>
      <c r="AF547" s="907">
        <f>AD547</f>
        <v>483.67667689250044</v>
      </c>
      <c r="AG547" s="730"/>
      <c r="AH547" s="730"/>
      <c r="AI547" s="730"/>
      <c r="AJ547" s="730"/>
      <c r="AK547" s="730"/>
      <c r="AL547" s="730"/>
      <c r="AM547" s="730"/>
      <c r="AN547" s="730"/>
      <c r="AO547" s="730"/>
      <c r="AP547" s="730"/>
      <c r="AQ547" s="731"/>
      <c r="AR547" s="709"/>
    </row>
    <row r="548" spans="3:44" ht="16.5" thickBot="1" x14ac:dyDescent="0.3">
      <c r="C548" s="593" t="str">
        <f>C408</f>
        <v>International sea</v>
      </c>
      <c r="D548" s="693">
        <f>((D408*(1+'Growth, Modal Shift, InfraCosts'!K65)^'Growth, Modal Shift, InfraCosts'!$L$4))</f>
        <v>118239.09517640679</v>
      </c>
      <c r="E548" s="1331">
        <f>D548/D561</f>
        <v>0.72168420493432384</v>
      </c>
      <c r="F548" s="757">
        <v>75000</v>
      </c>
      <c r="G548" s="453">
        <v>0.7</v>
      </c>
      <c r="H548" s="757">
        <f>F548*G548</f>
        <v>52500</v>
      </c>
      <c r="I548" s="757">
        <f>D548/H548</f>
        <v>2.2521732414553672</v>
      </c>
      <c r="J548" s="809">
        <f>I548/I561</f>
        <v>1.160801506564146E-4</v>
      </c>
      <c r="K548" s="552">
        <f>L548/H548</f>
        <v>4.2069464085838809E-2</v>
      </c>
      <c r="L548" s="452">
        <f>L128*$AZ$8</f>
        <v>2208.6468645065374</v>
      </c>
      <c r="M548" s="693">
        <f>D548*K548</f>
        <v>4974.2553680659221</v>
      </c>
      <c r="N548" s="413">
        <f>M548/M561</f>
        <v>4.018340674148517E-2</v>
      </c>
      <c r="O548" s="682" t="s">
        <v>60</v>
      </c>
      <c r="P548" s="759">
        <f>SUM(P549)</f>
        <v>4974.2553680659221</v>
      </c>
      <c r="Q548" s="801">
        <f>SUM(Q549)</f>
        <v>1</v>
      </c>
      <c r="R548" s="759">
        <f>SUM(R549)</f>
        <v>118239.09517640679</v>
      </c>
      <c r="S548" s="801">
        <f>SUM(S549)</f>
        <v>1</v>
      </c>
      <c r="T548" s="680"/>
      <c r="U548" s="1556" t="str">
        <f t="shared" si="295"/>
        <v xml:space="preserve">Sum </v>
      </c>
      <c r="V548" s="381"/>
      <c r="W548" s="538"/>
      <c r="X548" s="369"/>
      <c r="Y548" s="369"/>
      <c r="Z548" s="363"/>
      <c r="AA548" s="363"/>
      <c r="AB548" s="364"/>
      <c r="AC548" s="411"/>
      <c r="AD548" s="748">
        <f>SUM(AD549:AD552)</f>
        <v>4974.2553680659221</v>
      </c>
      <c r="AE548" s="725"/>
      <c r="AF548" s="733"/>
      <c r="AG548" s="733"/>
      <c r="AH548" s="733"/>
      <c r="AI548" s="733"/>
      <c r="AJ548" s="733"/>
      <c r="AK548" s="733"/>
      <c r="AL548" s="733"/>
      <c r="AM548" s="733"/>
      <c r="AN548" s="721"/>
      <c r="AO548" s="721"/>
      <c r="AP548" s="721"/>
      <c r="AQ548" s="723"/>
      <c r="AR548" s="654"/>
    </row>
    <row r="549" spans="3:44" ht="15.75" x14ac:dyDescent="0.25">
      <c r="C549" s="594"/>
      <c r="D549" s="532"/>
      <c r="E549" s="546"/>
      <c r="F549" s="364"/>
      <c r="G549" s="381"/>
      <c r="H549" s="827"/>
      <c r="I549" s="538"/>
      <c r="J549" s="473"/>
      <c r="K549" s="553"/>
      <c r="L549" s="432"/>
      <c r="M549" s="532"/>
      <c r="N549" s="367"/>
      <c r="O549" s="450" t="s">
        <v>3</v>
      </c>
      <c r="P549" s="532">
        <f>M548</f>
        <v>4974.2553680659221</v>
      </c>
      <c r="Q549" s="436">
        <f>Q544</f>
        <v>1</v>
      </c>
      <c r="R549" s="532">
        <f>D548</f>
        <v>118239.09517640679</v>
      </c>
      <c r="S549" s="448">
        <f>R549/R549</f>
        <v>1</v>
      </c>
      <c r="T549" s="525"/>
      <c r="U549" s="497" t="str">
        <f t="shared" si="295"/>
        <v>Bio-methanol</v>
      </c>
      <c r="V549" s="294">
        <f>V409</f>
        <v>0</v>
      </c>
      <c r="W549" s="538"/>
      <c r="X549" s="369"/>
      <c r="Y549" s="369"/>
      <c r="Z549" s="613"/>
      <c r="AA549" s="613"/>
      <c r="AB549" s="416">
        <f t="shared" ref="AB549:AC551" si="297">AB550</f>
        <v>2208.6468645065374</v>
      </c>
      <c r="AC549" s="616">
        <f t="shared" si="297"/>
        <v>4.2069464085838809E-2</v>
      </c>
      <c r="AD549" s="748">
        <f>AC549*D548*V549</f>
        <v>0</v>
      </c>
      <c r="AE549" s="720"/>
      <c r="AF549" s="733"/>
      <c r="AG549" s="733"/>
      <c r="AI549" s="738">
        <f>AD549</f>
        <v>0</v>
      </c>
      <c r="AJ549" s="733"/>
      <c r="AK549" s="733"/>
      <c r="AL549" s="733"/>
      <c r="AM549" s="733"/>
      <c r="AN549" s="721"/>
      <c r="AO549" s="721"/>
      <c r="AP549" s="721"/>
      <c r="AQ549" s="723"/>
      <c r="AR549" s="654"/>
    </row>
    <row r="550" spans="3:44" ht="15.75" x14ac:dyDescent="0.25">
      <c r="C550" s="594"/>
      <c r="D550" s="532"/>
      <c r="E550" s="546"/>
      <c r="F550" s="364"/>
      <c r="G550" s="381"/>
      <c r="H550" s="827"/>
      <c r="I550" s="538"/>
      <c r="J550" s="473"/>
      <c r="K550" s="553"/>
      <c r="L550" s="432"/>
      <c r="M550" s="532"/>
      <c r="N550" s="367"/>
      <c r="T550" s="525"/>
      <c r="U550" s="497" t="str">
        <f t="shared" si="295"/>
        <v>Gas-turbine biogas</v>
      </c>
      <c r="V550" s="375">
        <f>V410</f>
        <v>0</v>
      </c>
      <c r="W550" s="538"/>
      <c r="X550" s="369"/>
      <c r="Y550" s="369"/>
      <c r="Z550" s="613"/>
      <c r="AA550" s="613"/>
      <c r="AB550" s="416">
        <f t="shared" si="297"/>
        <v>2208.6468645065374</v>
      </c>
      <c r="AC550" s="616">
        <f t="shared" si="297"/>
        <v>4.2069464085838809E-2</v>
      </c>
      <c r="AD550" s="748">
        <f>AC550*D548*V550</f>
        <v>0</v>
      </c>
      <c r="AE550" s="720"/>
      <c r="AF550" s="733"/>
      <c r="AG550" s="733"/>
      <c r="AH550" s="721"/>
      <c r="AI550" s="721"/>
      <c r="AJ550" s="721"/>
      <c r="AK550" s="721"/>
      <c r="AL550" s="738">
        <f>AD550</f>
        <v>0</v>
      </c>
      <c r="AM550" s="721"/>
      <c r="AN550" s="721"/>
      <c r="AO550" s="721"/>
      <c r="AP550" s="721"/>
      <c r="AQ550" s="723"/>
      <c r="AR550" s="654"/>
    </row>
    <row r="551" spans="3:44" ht="16.5" thickBot="1" x14ac:dyDescent="0.3">
      <c r="C551" s="594"/>
      <c r="D551" s="532"/>
      <c r="E551" s="546"/>
      <c r="F551" s="364"/>
      <c r="G551" s="381"/>
      <c r="H551" s="827"/>
      <c r="I551" s="538"/>
      <c r="J551" s="473"/>
      <c r="K551" s="553"/>
      <c r="L551" s="432"/>
      <c r="M551" s="532"/>
      <c r="N551" s="367"/>
      <c r="O551" s="417"/>
      <c r="P551" s="532"/>
      <c r="Q551" s="436"/>
      <c r="R551" s="532"/>
      <c r="S551" s="417"/>
      <c r="T551" s="524"/>
      <c r="U551" s="497" t="str">
        <f t="shared" si="295"/>
        <v>Syn-methanol</v>
      </c>
      <c r="V551" s="1578">
        <f>V411</f>
        <v>0</v>
      </c>
      <c r="W551" s="517"/>
      <c r="AB551" s="416">
        <f t="shared" si="297"/>
        <v>2208.6468645065374</v>
      </c>
      <c r="AC551" s="616">
        <f t="shared" si="297"/>
        <v>4.2069464085838809E-2</v>
      </c>
      <c r="AD551" s="748">
        <f>AC551*D548*V551</f>
        <v>0</v>
      </c>
      <c r="AE551" s="720"/>
      <c r="AF551" s="733"/>
      <c r="AG551" s="733"/>
      <c r="AH551" s="738">
        <f>AD551</f>
        <v>0</v>
      </c>
      <c r="AI551" s="721"/>
      <c r="AJ551" s="721"/>
      <c r="AK551" s="721"/>
      <c r="AL551" s="721"/>
      <c r="AM551" s="721"/>
      <c r="AN551" s="721"/>
      <c r="AO551" s="721"/>
      <c r="AP551" s="721"/>
      <c r="AQ551" s="721"/>
      <c r="AR551" s="649"/>
    </row>
    <row r="552" spans="3:44" ht="16.5" thickBot="1" x14ac:dyDescent="0.3">
      <c r="C552" s="595"/>
      <c r="D552" s="702"/>
      <c r="E552" s="548"/>
      <c r="F552" s="385"/>
      <c r="G552" s="665"/>
      <c r="H552" s="1356"/>
      <c r="I552" s="692"/>
      <c r="J552" s="664"/>
      <c r="K552" s="554"/>
      <c r="L552" s="439"/>
      <c r="M552" s="532"/>
      <c r="N552" s="367"/>
      <c r="O552" s="458"/>
      <c r="P552" s="705"/>
      <c r="Q552" s="443"/>
      <c r="R552" s="705"/>
      <c r="S552" s="458"/>
      <c r="T552" s="525"/>
      <c r="U552" s="1560" t="str">
        <f t="shared" si="295"/>
        <v>No shift in technology</v>
      </c>
      <c r="V552" s="459">
        <f>1-SUM(V549:V551)</f>
        <v>1</v>
      </c>
      <c r="W552" s="538">
        <f>AB552*78</f>
        <v>172274.45543150991</v>
      </c>
      <c r="X552" s="408"/>
      <c r="Y552" s="369"/>
      <c r="Z552" s="613"/>
      <c r="AA552" s="613"/>
      <c r="AB552" s="416">
        <f>((I548*L548)+(I552*L552))/SUM(I548+I552)</f>
        <v>2208.6468645065374</v>
      </c>
      <c r="AC552" s="411">
        <f>((K548*D548)+(K552*D552))/SUM(D548,D552)</f>
        <v>4.2069464085838809E-2</v>
      </c>
      <c r="AD552" s="747">
        <f>(V552*D548*AC552)</f>
        <v>4974.2553680659221</v>
      </c>
      <c r="AE552" s="734"/>
      <c r="AF552" s="907">
        <f>AD552</f>
        <v>4974.2553680659221</v>
      </c>
      <c r="AG552" s="730"/>
      <c r="AH552" s="730"/>
      <c r="AI552" s="730"/>
      <c r="AJ552" s="730"/>
      <c r="AK552" s="730"/>
      <c r="AL552" s="730"/>
      <c r="AM552" s="730"/>
      <c r="AN552" s="730"/>
      <c r="AO552" s="730"/>
      <c r="AP552" s="730"/>
      <c r="AQ552" s="731"/>
      <c r="AR552" s="709"/>
    </row>
    <row r="553" spans="3:44" ht="16.5" thickBot="1" x14ac:dyDescent="0.3">
      <c r="C553" s="593" t="str">
        <f t="shared" ref="C553:C559" si="298">C413</f>
        <v>Other</v>
      </c>
      <c r="D553" s="694" t="s">
        <v>114</v>
      </c>
      <c r="E553" s="1898" t="str">
        <f t="shared" ref="E553:E559" si="299">E413</f>
        <v>Eff. improvements / Year
(added to ref impr.)</v>
      </c>
      <c r="F553" s="1899"/>
      <c r="G553" s="1900"/>
      <c r="H553" s="1381"/>
      <c r="I553" s="757" t="s">
        <v>213</v>
      </c>
      <c r="J553" s="1355"/>
      <c r="K553" s="555" t="s">
        <v>114</v>
      </c>
      <c r="L553" s="461" t="s">
        <v>114</v>
      </c>
      <c r="M553" s="693">
        <f>SUM(M554:M559)</f>
        <v>13754.118676007678</v>
      </c>
      <c r="N553" s="413">
        <f>M553/M561</f>
        <v>0.11110956399159871</v>
      </c>
      <c r="O553" s="682" t="s">
        <v>60</v>
      </c>
      <c r="P553" s="759">
        <f>SUM(P554:P559)</f>
        <v>13754.118676007678</v>
      </c>
      <c r="Q553" s="801" t="s">
        <v>114</v>
      </c>
      <c r="R553" s="759" t="s">
        <v>114</v>
      </c>
      <c r="S553" s="801" t="s">
        <v>114</v>
      </c>
      <c r="T553" s="680"/>
      <c r="U553" s="1556" t="str">
        <f t="shared" si="295"/>
        <v>Sum</v>
      </c>
      <c r="V553" s="1571" t="s">
        <v>124</v>
      </c>
      <c r="W553" s="774"/>
      <c r="X553" s="623"/>
      <c r="Y553" s="623"/>
      <c r="Z553" s="462"/>
      <c r="AA553" s="462"/>
      <c r="AB553" s="621" t="s">
        <v>125</v>
      </c>
      <c r="AC553" s="622" t="s">
        <v>128</v>
      </c>
      <c r="AD553" s="748">
        <f>SUM(AD554:AD560)</f>
        <v>13754.118676007678</v>
      </c>
      <c r="AE553" s="720"/>
      <c r="AF553" s="721"/>
      <c r="AG553" s="721"/>
      <c r="AH553" s="721"/>
      <c r="AI553" s="721"/>
      <c r="AJ553" s="721"/>
      <c r="AK553" s="721"/>
      <c r="AL553" s="721"/>
      <c r="AM553" s="721"/>
      <c r="AN553" s="721"/>
      <c r="AO553" s="721"/>
      <c r="AP553" s="721"/>
      <c r="AQ553" s="721"/>
      <c r="AR553" s="654"/>
    </row>
    <row r="554" spans="3:44" ht="15.75" x14ac:dyDescent="0.25">
      <c r="C554" s="591" t="str">
        <f t="shared" si="298"/>
        <v>Military transport road</v>
      </c>
      <c r="D554" s="532"/>
      <c r="E554" s="1896" t="str">
        <f t="shared" si="299"/>
        <v>Diesel (military)</v>
      </c>
      <c r="F554" s="1897"/>
      <c r="G554" s="449">
        <v>0</v>
      </c>
      <c r="I554" s="704">
        <f t="shared" ref="I554:I559" si="300">(1+G554)^$AZ$4-1</f>
        <v>0</v>
      </c>
      <c r="K554" s="553"/>
      <c r="L554" s="432"/>
      <c r="M554" s="532">
        <f t="shared" ref="M554:M559" si="301">M414*$AZ$11</f>
        <v>550.75542813502989</v>
      </c>
      <c r="N554" s="367">
        <f>M554/M561</f>
        <v>4.4491542444544266E-3</v>
      </c>
      <c r="O554" s="450" t="s">
        <v>113</v>
      </c>
      <c r="P554" s="532">
        <f t="shared" ref="P554:P559" si="302">P414*$AZ$11*(1-I554)</f>
        <v>550.75542813502989</v>
      </c>
      <c r="Q554" s="436"/>
      <c r="R554" s="532"/>
      <c r="S554" s="448"/>
      <c r="T554" s="525"/>
      <c r="U554" s="1559" t="str">
        <f t="shared" si="295"/>
        <v>Bio-methanol [fishery/gardening/forestry]</v>
      </c>
      <c r="V554" s="346"/>
      <c r="W554" s="517"/>
      <c r="X554" s="369"/>
      <c r="Y554" s="369"/>
      <c r="AB554" s="463">
        <f>AB414</f>
        <v>0</v>
      </c>
      <c r="AC554" s="464" t="s">
        <v>127</v>
      </c>
      <c r="AD554" s="748">
        <f>AB554*(P557+P558)</f>
        <v>0</v>
      </c>
      <c r="AE554" s="720"/>
      <c r="AF554" s="721"/>
      <c r="AG554" s="721"/>
      <c r="AH554" s="721"/>
      <c r="AI554" s="722">
        <f>AD554</f>
        <v>0</v>
      </c>
      <c r="AJ554" s="721"/>
      <c r="AK554" s="721"/>
      <c r="AL554" s="721"/>
      <c r="AM554" s="721"/>
      <c r="AN554" s="721"/>
      <c r="AO554" s="721"/>
      <c r="AP554" s="721"/>
      <c r="AQ554" s="721"/>
      <c r="AR554" s="649"/>
    </row>
    <row r="555" spans="3:44" ht="40.5" customHeight="1" x14ac:dyDescent="0.25">
      <c r="C555" s="591" t="str">
        <f t="shared" si="298"/>
        <v>Military transport aviation</v>
      </c>
      <c r="D555" s="532"/>
      <c r="E555" s="1896" t="str">
        <f t="shared" si="299"/>
        <v>JP1 (military)</v>
      </c>
      <c r="F555" s="1897"/>
      <c r="G555" s="465">
        <v>0</v>
      </c>
      <c r="I555" s="704">
        <f t="shared" si="300"/>
        <v>0</v>
      </c>
      <c r="K555" s="553"/>
      <c r="L555" s="432"/>
      <c r="M555" s="532">
        <f t="shared" si="301"/>
        <v>533.93091370862294</v>
      </c>
      <c r="N555" s="367">
        <f>M555/M561</f>
        <v>4.3132411767891525E-3</v>
      </c>
      <c r="O555" s="450" t="s">
        <v>112</v>
      </c>
      <c r="P555" s="532">
        <f t="shared" si="302"/>
        <v>533.93091370862294</v>
      </c>
      <c r="Q555" s="417"/>
      <c r="R555" s="532"/>
      <c r="S555" s="417"/>
      <c r="T555" s="524"/>
      <c r="U555" s="497" t="str">
        <f t="shared" si="295"/>
        <v>Plug-in hybrid vehicle Bio-methanol (EV %of drive train) [all road/agriculture]</v>
      </c>
      <c r="V555" s="346" t="s">
        <v>126</v>
      </c>
      <c r="W555" s="517"/>
      <c r="X555" s="369"/>
      <c r="Y555" s="369"/>
      <c r="Z555" s="466">
        <v>0.25</v>
      </c>
      <c r="AB555" s="463">
        <f>AB415</f>
        <v>0</v>
      </c>
      <c r="AC555" s="464" t="s">
        <v>127</v>
      </c>
      <c r="AD555" s="748">
        <f>AB555*(P554+P556+P559)</f>
        <v>0</v>
      </c>
      <c r="AE555" s="720"/>
      <c r="AF555" s="721"/>
      <c r="AG555" s="721"/>
      <c r="AH555" s="721"/>
      <c r="AI555" s="722">
        <f>AD555*(1-Z555)</f>
        <v>0</v>
      </c>
      <c r="AJ555" s="721"/>
      <c r="AK555" s="721"/>
      <c r="AL555" s="721"/>
      <c r="AM555" s="721"/>
      <c r="AN555" s="721"/>
      <c r="AO555" s="722">
        <f>AD555*Z555</f>
        <v>0</v>
      </c>
      <c r="AP555" s="721"/>
      <c r="AQ555" s="721"/>
      <c r="AR555" s="649"/>
    </row>
    <row r="556" spans="3:44" ht="15.75" x14ac:dyDescent="0.25">
      <c r="C556" s="591" t="str">
        <f t="shared" si="298"/>
        <v>Agriculture</v>
      </c>
      <c r="D556" s="532"/>
      <c r="E556" s="1894" t="str">
        <f t="shared" si="299"/>
        <v>Diesel (Agr.)</v>
      </c>
      <c r="F556" s="1895"/>
      <c r="G556" s="465">
        <v>0</v>
      </c>
      <c r="I556" s="704">
        <f t="shared" si="300"/>
        <v>0</v>
      </c>
      <c r="K556" s="553"/>
      <c r="L556" s="432"/>
      <c r="M556" s="532">
        <f t="shared" si="301"/>
        <v>7293.9218425070458</v>
      </c>
      <c r="N556" s="367">
        <f>M556/M561</f>
        <v>5.8922312276063121E-2</v>
      </c>
      <c r="O556" s="346" t="s">
        <v>120</v>
      </c>
      <c r="P556" s="532">
        <f t="shared" si="302"/>
        <v>7293.9218425070458</v>
      </c>
      <c r="Q556" s="417"/>
      <c r="R556" s="532"/>
      <c r="S556" s="417"/>
      <c r="T556" s="524"/>
      <c r="U556" s="1558" t="str">
        <f t="shared" si="295"/>
        <v>Gas-turbines Bio-jetfuel [aviation]</v>
      </c>
      <c r="V556" s="346"/>
      <c r="W556" s="517"/>
      <c r="X556" s="369"/>
      <c r="Y556" s="369"/>
      <c r="AB556" s="463">
        <f>AB416</f>
        <v>0</v>
      </c>
      <c r="AC556" s="464" t="s">
        <v>127</v>
      </c>
      <c r="AD556" s="748">
        <f>AB556*P555</f>
        <v>0</v>
      </c>
      <c r="AE556" s="720"/>
      <c r="AF556" s="721"/>
      <c r="AG556" s="721"/>
      <c r="AH556" s="721"/>
      <c r="AI556" s="721"/>
      <c r="AJ556" s="721"/>
      <c r="AK556" s="721"/>
      <c r="AL556" s="721"/>
      <c r="AM556" s="722">
        <f>AD556</f>
        <v>0</v>
      </c>
      <c r="AN556" s="721"/>
      <c r="AO556" s="721"/>
      <c r="AP556" s="721"/>
      <c r="AQ556" s="721"/>
      <c r="AR556" s="649"/>
    </row>
    <row r="557" spans="3:44" ht="15.75" x14ac:dyDescent="0.25">
      <c r="C557" s="591" t="str">
        <f t="shared" si="298"/>
        <v>Fishery</v>
      </c>
      <c r="D557" s="532"/>
      <c r="E557" s="1894" t="str">
        <f t="shared" si="299"/>
        <v>Diesel (Fishery)</v>
      </c>
      <c r="F557" s="1895"/>
      <c r="G557" s="465">
        <v>0</v>
      </c>
      <c r="I557" s="704">
        <f t="shared" si="300"/>
        <v>0</v>
      </c>
      <c r="K557" s="553"/>
      <c r="L557" s="432"/>
      <c r="M557" s="532">
        <f t="shared" si="301"/>
        <v>3839.9479984976028</v>
      </c>
      <c r="N557" s="367">
        <f>M557/M561</f>
        <v>3.1020158973015587E-2</v>
      </c>
      <c r="O557" s="346" t="s">
        <v>121</v>
      </c>
      <c r="P557" s="532">
        <f t="shared" si="302"/>
        <v>3839.9479984976028</v>
      </c>
      <c r="Q557" s="417"/>
      <c r="R557" s="532"/>
      <c r="S557" s="417"/>
      <c r="T557" s="524"/>
      <c r="U557" s="1558" t="str">
        <f t="shared" si="295"/>
        <v>Syn-methanol [fishery/ gardening/forestry]</v>
      </c>
      <c r="V557" s="346"/>
      <c r="W557" s="517"/>
      <c r="X557" s="369"/>
      <c r="Y557" s="369"/>
      <c r="AB557" s="467" t="s">
        <v>127</v>
      </c>
      <c r="AC557" s="1580">
        <f>AC417</f>
        <v>0</v>
      </c>
      <c r="AD557" s="748">
        <f>AC557*(P557+P558)</f>
        <v>0</v>
      </c>
      <c r="AE557" s="720"/>
      <c r="AF557" s="721"/>
      <c r="AG557" s="721"/>
      <c r="AH557" s="722">
        <f>AD557</f>
        <v>0</v>
      </c>
      <c r="AI557" s="721"/>
      <c r="AJ557" s="721"/>
      <c r="AK557" s="721"/>
      <c r="AL557" s="721"/>
      <c r="AM557" s="721"/>
      <c r="AN557" s="721"/>
      <c r="AO557" s="721"/>
      <c r="AP557" s="721"/>
      <c r="AQ557" s="721"/>
      <c r="AR557" s="649"/>
    </row>
    <row r="558" spans="3:44" ht="15.75" x14ac:dyDescent="0.25">
      <c r="C558" s="591" t="str">
        <f t="shared" si="298"/>
        <v>Gardening and forestry</v>
      </c>
      <c r="D558" s="532"/>
      <c r="E558" s="1894" t="str">
        <f t="shared" si="299"/>
        <v>Diesel (garden/forest)</v>
      </c>
      <c r="F558" s="1895"/>
      <c r="G558" s="465">
        <v>0</v>
      </c>
      <c r="I558" s="704">
        <f t="shared" si="300"/>
        <v>0</v>
      </c>
      <c r="K558" s="553"/>
      <c r="L558" s="432"/>
      <c r="M558" s="532">
        <f t="shared" si="301"/>
        <v>255.92708219322952</v>
      </c>
      <c r="N558" s="367">
        <f>M558/M561</f>
        <v>2.067449553546073E-3</v>
      </c>
      <c r="O558" s="346" t="s">
        <v>122</v>
      </c>
      <c r="P558" s="532">
        <f t="shared" si="302"/>
        <v>255.92708219322952</v>
      </c>
      <c r="Q558" s="417"/>
      <c r="R558" s="532"/>
      <c r="S558" s="417"/>
      <c r="T558" s="524"/>
      <c r="U558" s="1558" t="str">
        <f t="shared" si="295"/>
        <v>Hybrid Syn-methanol (EV % of drive train) [all road/agriculture]</v>
      </c>
      <c r="V558" s="346" t="s">
        <v>126</v>
      </c>
      <c r="W558" s="517"/>
      <c r="X558" s="369"/>
      <c r="Y558" s="369"/>
      <c r="Z558" s="466">
        <v>0.25</v>
      </c>
      <c r="AB558" s="467" t="s">
        <v>127</v>
      </c>
      <c r="AC558" s="1580">
        <f>AC418</f>
        <v>0</v>
      </c>
      <c r="AD558" s="748">
        <f>AC558*(P554+P556+P559)</f>
        <v>0</v>
      </c>
      <c r="AE558" s="720"/>
      <c r="AF558" s="721"/>
      <c r="AG558" s="721"/>
      <c r="AH558" s="722">
        <f>AD558*(1-Z558)</f>
        <v>0</v>
      </c>
      <c r="AI558" s="721"/>
      <c r="AJ558" s="721"/>
      <c r="AK558" s="721"/>
      <c r="AL558" s="721"/>
      <c r="AM558" s="721"/>
      <c r="AN558" s="721"/>
      <c r="AO558" s="722">
        <f>AD558*Z558</f>
        <v>0</v>
      </c>
      <c r="AP558" s="721"/>
      <c r="AQ558" s="721"/>
      <c r="AR558" s="649"/>
    </row>
    <row r="559" spans="3:44" ht="16.5" thickBot="1" x14ac:dyDescent="0.3">
      <c r="C559" s="591" t="str">
        <f t="shared" si="298"/>
        <v>Agricultural contractor</v>
      </c>
      <c r="D559" s="532"/>
      <c r="E559" s="1894" t="str">
        <f t="shared" si="299"/>
        <v>Diesel (Agr. contr.)</v>
      </c>
      <c r="F559" s="1895"/>
      <c r="G559" s="451">
        <v>0</v>
      </c>
      <c r="I559" s="704">
        <f t="shared" si="300"/>
        <v>0</v>
      </c>
      <c r="K559" s="553"/>
      <c r="L559" s="432"/>
      <c r="M559" s="532">
        <f t="shared" si="301"/>
        <v>1279.6354109661474</v>
      </c>
      <c r="N559" s="367">
        <f>M559/M561</f>
        <v>1.0337247767730364E-2</v>
      </c>
      <c r="O559" s="346" t="s">
        <v>123</v>
      </c>
      <c r="P559" s="532">
        <f t="shared" si="302"/>
        <v>1279.6354109661474</v>
      </c>
      <c r="Q559" s="417"/>
      <c r="R559" s="532"/>
      <c r="S559" s="417"/>
      <c r="T559" s="524"/>
      <c r="U559" s="1558" t="str">
        <f t="shared" si="295"/>
        <v>Syn-jetfuel [aviation]</v>
      </c>
      <c r="V559" s="346"/>
      <c r="W559" s="517"/>
      <c r="X559" s="369"/>
      <c r="Y559" s="369"/>
      <c r="AA559" s="416"/>
      <c r="AB559" s="469" t="s">
        <v>127</v>
      </c>
      <c r="AC559" s="1581">
        <f>AC419</f>
        <v>0</v>
      </c>
      <c r="AD559" s="748">
        <f>AC559*P555</f>
        <v>0</v>
      </c>
      <c r="AE559" s="720"/>
      <c r="AF559" s="721"/>
      <c r="AG559" s="721"/>
      <c r="AH559" s="721"/>
      <c r="AI559" s="721"/>
      <c r="AJ559" s="721"/>
      <c r="AK559" s="721"/>
      <c r="AL559" s="721"/>
      <c r="AM559" s="721"/>
      <c r="AN559" s="721"/>
      <c r="AO559" s="721"/>
      <c r="AP559" s="721"/>
      <c r="AQ559" s="722">
        <f>AD559</f>
        <v>0</v>
      </c>
      <c r="AR559" s="649"/>
    </row>
    <row r="560" spans="3:44" ht="16.5" thickBot="1" x14ac:dyDescent="0.3">
      <c r="C560" s="595"/>
      <c r="D560" s="532"/>
      <c r="E560" s="842"/>
      <c r="F560" s="460"/>
      <c r="G560" s="843"/>
      <c r="H560" s="829"/>
      <c r="I560" s="532"/>
      <c r="J560" s="417"/>
      <c r="K560" s="553"/>
      <c r="L560" s="432"/>
      <c r="M560" s="532"/>
      <c r="N560" s="367"/>
      <c r="Q560" s="417"/>
      <c r="R560" s="532"/>
      <c r="S560" s="417"/>
      <c r="T560" s="525"/>
      <c r="U560" s="1560" t="str">
        <f t="shared" si="295"/>
        <v>No shift in technology</v>
      </c>
      <c r="V560" s="381"/>
      <c r="W560" s="538"/>
      <c r="X560" s="369"/>
      <c r="Y560" s="369"/>
      <c r="Z560" s="613"/>
      <c r="AA560" s="381"/>
      <c r="AB560" s="416"/>
      <c r="AC560" s="411"/>
      <c r="AD560" s="748">
        <f>P553-SUM(AD554:AD559)</f>
        <v>13754.118676007678</v>
      </c>
      <c r="AE560" s="720"/>
      <c r="AF560" s="722">
        <f>(P554+P556+P557+P558+P559)-(AD554+AD555+AD557+AD558)</f>
        <v>13220.187762299056</v>
      </c>
      <c r="AG560" s="722">
        <f>P555-AD556-AD559</f>
        <v>533.93091370862294</v>
      </c>
      <c r="AH560" s="721"/>
      <c r="AI560" s="721"/>
      <c r="AJ560" s="721"/>
      <c r="AK560" s="721"/>
      <c r="AL560" s="721"/>
      <c r="AM560" s="721"/>
      <c r="AN560" s="721"/>
      <c r="AO560" s="721"/>
      <c r="AP560" s="721"/>
      <c r="AQ560" s="721"/>
      <c r="AR560" s="654"/>
    </row>
    <row r="561" spans="1:44" ht="16.5" thickBot="1" x14ac:dyDescent="0.3">
      <c r="C561" s="596" t="str">
        <f>C421</f>
        <v>Total</v>
      </c>
      <c r="D561" s="696">
        <f>SUM(D481+D493+D505+D523+D529+D535+D539+D543+D548)</f>
        <v>163837.7206650477</v>
      </c>
      <c r="E561" s="816">
        <f>SUM(E548+E543+E539+E535+E529+E523+E505+E493+E481)</f>
        <v>1.0000000000000002</v>
      </c>
      <c r="F561" s="427"/>
      <c r="G561" s="427"/>
      <c r="H561" s="831"/>
      <c r="I561" s="696">
        <f>SUM(I481+I493+I505+I523+I529+I535+I539+I543+I548)</f>
        <v>19401.880758421568</v>
      </c>
      <c r="J561" s="541">
        <f>J548+J543+J539+J535+J529+J523+J505+J493+J481</f>
        <v>0.99999999999999989</v>
      </c>
      <c r="K561" s="429"/>
      <c r="L561" s="427"/>
      <c r="M561" s="696">
        <f>SUM(M481,M493,M505,M523+M529,M535:M539,M543:M548,M554,M555,M557,M556,M558,M559)</f>
        <v>123788.79172856499</v>
      </c>
      <c r="N561" s="428">
        <f>N548+N543+N539+N535+N529+N523+N505+N493+N481+N554+N555+N556+N557+N558+N559</f>
        <v>1</v>
      </c>
      <c r="O561" s="471"/>
      <c r="P561" s="696">
        <f>SUM(P481+P493+P505+P524+P525+P530+P531+P536+P540+P544+P549+P553)</f>
        <v>123788.79172856499</v>
      </c>
      <c r="Q561" s="802"/>
      <c r="R561" s="696">
        <f>SUM(R481+R493+R505+R524+R525+R530+R531+R536+R540+R544+R549)</f>
        <v>163837.72066504773</v>
      </c>
      <c r="S561" s="802"/>
      <c r="T561" s="528"/>
      <c r="U561" s="1561"/>
      <c r="V561" s="472"/>
      <c r="W561" s="775"/>
      <c r="X561" s="471"/>
      <c r="Y561" s="471"/>
      <c r="Z561" s="471"/>
      <c r="AA561" s="471"/>
      <c r="AB561" s="471"/>
      <c r="AC561" s="471"/>
      <c r="AD561" s="696">
        <f>AD548+AD543+AD539+AD535+AD529+AD523+AD505+AD493+AD481+AD553</f>
        <v>123788.79172856502</v>
      </c>
      <c r="AE561" s="846">
        <f t="shared" ref="AE561:AQ561" si="303">SUM(AE482:AE560)</f>
        <v>1602.562929997641</v>
      </c>
      <c r="AF561" s="847">
        <f t="shared" si="303"/>
        <v>109476.11025066754</v>
      </c>
      <c r="AG561" s="847">
        <f t="shared" si="303"/>
        <v>6808.1965663039</v>
      </c>
      <c r="AH561" s="847">
        <f t="shared" si="303"/>
        <v>0</v>
      </c>
      <c r="AI561" s="847">
        <f t="shared" si="303"/>
        <v>0</v>
      </c>
      <c r="AJ561" s="847">
        <f t="shared" si="303"/>
        <v>1545.7871684857694</v>
      </c>
      <c r="AK561" s="847">
        <f t="shared" si="303"/>
        <v>4091.3818702101908</v>
      </c>
      <c r="AL561" s="847">
        <f t="shared" si="303"/>
        <v>0</v>
      </c>
      <c r="AM561" s="847">
        <f t="shared" si="303"/>
        <v>0</v>
      </c>
      <c r="AN561" s="847">
        <f t="shared" si="303"/>
        <v>0</v>
      </c>
      <c r="AO561" s="847">
        <f t="shared" si="303"/>
        <v>0</v>
      </c>
      <c r="AP561" s="847">
        <f t="shared" si="303"/>
        <v>264.7529428999714</v>
      </c>
      <c r="AQ561" s="848">
        <f t="shared" si="303"/>
        <v>0</v>
      </c>
      <c r="AR561" s="745"/>
    </row>
    <row r="562" spans="1:44" x14ac:dyDescent="0.25">
      <c r="C562" s="5"/>
    </row>
    <row r="563" spans="1:44" ht="18.75" x14ac:dyDescent="0.25">
      <c r="C563" s="337"/>
      <c r="D563" s="708"/>
      <c r="E563" s="814"/>
      <c r="F563" s="551"/>
      <c r="G563" s="551"/>
      <c r="H563" s="833"/>
      <c r="I563" s="708"/>
      <c r="J563" s="814"/>
      <c r="K563" s="500"/>
      <c r="L563" s="501"/>
      <c r="M563" s="708"/>
      <c r="N563" s="786"/>
      <c r="O563" s="634"/>
      <c r="P563" s="764"/>
      <c r="Q563" s="786"/>
      <c r="R563" s="764"/>
      <c r="S563" s="787"/>
      <c r="T563" s="530"/>
      <c r="U563" s="513"/>
      <c r="Z563" s="513"/>
      <c r="AH563" s="742"/>
      <c r="AI563" s="742"/>
    </row>
    <row r="564" spans="1:44" ht="15.75" x14ac:dyDescent="0.25">
      <c r="C564" s="5"/>
      <c r="D564" s="532"/>
      <c r="E564" s="448"/>
      <c r="F564" s="4"/>
      <c r="G564" s="362"/>
      <c r="H564" s="829"/>
      <c r="I564" s="532"/>
      <c r="J564" s="448"/>
      <c r="K564" s="4"/>
      <c r="L564" s="501"/>
      <c r="M564" s="532"/>
      <c r="N564" s="448"/>
      <c r="S564" s="787"/>
      <c r="T564" s="530"/>
      <c r="U564" s="513"/>
      <c r="Z564" s="513"/>
    </row>
    <row r="565" spans="1:44" ht="15.75" x14ac:dyDescent="0.25">
      <c r="A565" s="8"/>
      <c r="B565" s="8"/>
      <c r="C565" s="338"/>
      <c r="F565" s="503"/>
      <c r="G565" s="362"/>
      <c r="I565" s="538"/>
      <c r="J565" s="448"/>
      <c r="K565" s="502"/>
      <c r="L565" s="501"/>
      <c r="M565" s="538"/>
      <c r="N565" s="448"/>
      <c r="S565" s="787"/>
      <c r="T565" s="530"/>
      <c r="U565" s="513"/>
      <c r="Z565" s="513"/>
    </row>
    <row r="566" spans="1:44" ht="15.75" x14ac:dyDescent="0.25">
      <c r="A566" s="8"/>
      <c r="B566" s="8"/>
      <c r="C566" s="338"/>
      <c r="F566" s="503"/>
      <c r="G566" s="362"/>
      <c r="I566" s="538"/>
      <c r="J566" s="448"/>
      <c r="K566" s="502"/>
      <c r="L566" s="501"/>
      <c r="M566" s="538"/>
      <c r="N566" s="448"/>
      <c r="S566" s="787"/>
      <c r="T566" s="530"/>
      <c r="U566" s="513"/>
      <c r="Z566" s="513"/>
    </row>
    <row r="567" spans="1:44" ht="15.75" x14ac:dyDescent="0.25">
      <c r="A567" s="8"/>
      <c r="B567" s="8"/>
      <c r="I567" s="538"/>
      <c r="J567" s="448"/>
      <c r="K567" s="502"/>
      <c r="L567" s="501"/>
      <c r="M567" s="538"/>
      <c r="N567" s="448"/>
      <c r="S567" s="787"/>
      <c r="T567" s="530"/>
      <c r="U567" s="513"/>
      <c r="Z567" s="513"/>
    </row>
    <row r="568" spans="1:44" ht="15.75" x14ac:dyDescent="0.25">
      <c r="A568" s="8"/>
      <c r="B568" s="8"/>
      <c r="I568" s="538"/>
      <c r="J568" s="448"/>
      <c r="K568" s="502"/>
      <c r="L568" s="501"/>
      <c r="M568" s="538"/>
      <c r="N568" s="448"/>
      <c r="Q568" s="787"/>
      <c r="R568" s="530"/>
      <c r="S568" s="787"/>
      <c r="T568" s="530"/>
      <c r="U568" s="513"/>
      <c r="X568" s="513"/>
      <c r="Y568" s="513"/>
      <c r="Z568" s="513"/>
      <c r="AA568" s="513"/>
      <c r="AB568" s="513"/>
      <c r="AC568" s="513"/>
      <c r="AD568" s="530"/>
      <c r="AE568" s="530"/>
      <c r="AF568" s="530"/>
      <c r="AG568" s="530"/>
      <c r="AH568" s="530"/>
      <c r="AI568" s="530"/>
      <c r="AJ568" s="530"/>
      <c r="AK568" s="530"/>
      <c r="AL568" s="530"/>
      <c r="AM568" s="530"/>
    </row>
    <row r="569" spans="1:44" ht="15.75" x14ac:dyDescent="0.25">
      <c r="A569" s="8"/>
      <c r="B569" s="8"/>
      <c r="I569" s="694"/>
      <c r="J569" s="448"/>
      <c r="K569" s="502"/>
      <c r="L569" s="501"/>
      <c r="M569" s="694"/>
      <c r="N569" s="448"/>
      <c r="Q569" s="787"/>
      <c r="R569" s="530"/>
      <c r="S569" s="787"/>
      <c r="T569" s="530"/>
      <c r="U569" s="513"/>
      <c r="X569" s="513"/>
      <c r="Y569" s="513"/>
      <c r="Z569" s="513"/>
      <c r="AA569" s="513"/>
      <c r="AB569" s="513"/>
      <c r="AC569" s="513"/>
      <c r="AD569" s="530"/>
      <c r="AE569" s="530"/>
      <c r="AF569" s="530"/>
      <c r="AG569" s="530"/>
      <c r="AH569" s="530"/>
      <c r="AI569" s="530"/>
      <c r="AJ569" s="530"/>
      <c r="AK569" s="530"/>
      <c r="AL569" s="530"/>
      <c r="AM569" s="530"/>
    </row>
    <row r="570" spans="1:44" ht="15.75" x14ac:dyDescent="0.25">
      <c r="A570" s="8"/>
      <c r="B570" s="8"/>
      <c r="I570" s="530"/>
      <c r="J570" s="787"/>
      <c r="K570" s="513"/>
      <c r="L570" s="501"/>
      <c r="M570" s="530"/>
      <c r="N570" s="787"/>
      <c r="O570" s="513"/>
      <c r="P570" s="530"/>
      <c r="Q570" s="787"/>
      <c r="R570" s="530"/>
      <c r="S570" s="787"/>
      <c r="T570" s="530"/>
      <c r="U570" s="513"/>
      <c r="X570" s="513"/>
      <c r="Y570" s="513"/>
      <c r="Z570" s="513"/>
      <c r="AA570" s="513"/>
      <c r="AB570" s="513"/>
      <c r="AC570" s="513"/>
      <c r="AD570" s="530"/>
      <c r="AE570" s="530"/>
      <c r="AF570" s="530"/>
      <c r="AG570" s="530"/>
      <c r="AH570" s="530"/>
      <c r="AI570" s="530"/>
      <c r="AJ570" s="530"/>
      <c r="AK570" s="530"/>
      <c r="AL570" s="530"/>
      <c r="AM570" s="530"/>
    </row>
    <row r="571" spans="1:44" ht="15.75" x14ac:dyDescent="0.25">
      <c r="A571" s="8"/>
      <c r="B571" s="8"/>
      <c r="H571" s="834"/>
      <c r="I571" s="530"/>
      <c r="J571" s="787"/>
      <c r="K571" s="513"/>
      <c r="L571" s="501"/>
      <c r="M571" s="530"/>
      <c r="N571" s="787"/>
      <c r="O571" s="513"/>
      <c r="P571" s="530"/>
      <c r="Q571" s="787"/>
      <c r="R571" s="530"/>
      <c r="S571" s="787"/>
      <c r="T571" s="530"/>
      <c r="U571" s="513"/>
      <c r="X571" s="513"/>
      <c r="Y571" s="513"/>
      <c r="Z571" s="513"/>
      <c r="AA571" s="513"/>
      <c r="AB571" s="513"/>
      <c r="AC571" s="513"/>
      <c r="AD571" s="530"/>
      <c r="AE571" s="530"/>
      <c r="AF571" s="530"/>
      <c r="AG571" s="530"/>
      <c r="AH571" s="530"/>
      <c r="AI571" s="530"/>
      <c r="AJ571" s="530"/>
      <c r="AK571" s="530"/>
      <c r="AL571" s="530"/>
      <c r="AM571" s="530"/>
    </row>
    <row r="572" spans="1:44" ht="15.75" x14ac:dyDescent="0.25">
      <c r="B572" s="70"/>
      <c r="H572" s="834"/>
      <c r="I572" s="530"/>
      <c r="J572" s="787"/>
      <c r="K572" s="513"/>
      <c r="L572" s="501"/>
      <c r="M572" s="530"/>
      <c r="N572" s="787"/>
      <c r="O572" s="513"/>
      <c r="P572" s="530"/>
      <c r="Q572" s="787"/>
      <c r="R572" s="530"/>
      <c r="S572" s="787"/>
      <c r="T572" s="530"/>
      <c r="U572" s="513"/>
      <c r="X572" s="513"/>
      <c r="Y572" s="513"/>
      <c r="Z572" s="513"/>
      <c r="AA572" s="513"/>
      <c r="AB572" s="513"/>
      <c r="AC572" s="513"/>
      <c r="AD572" s="530"/>
      <c r="AE572" s="530"/>
      <c r="AF572" s="530"/>
      <c r="AG572" s="530"/>
      <c r="AH572" s="530"/>
      <c r="AI572" s="530"/>
      <c r="AJ572" s="530"/>
      <c r="AK572" s="530"/>
      <c r="AL572" s="530"/>
      <c r="AM572" s="530"/>
    </row>
    <row r="573" spans="1:44" ht="15.75" x14ac:dyDescent="0.25">
      <c r="B573" s="70"/>
      <c r="H573" s="834"/>
      <c r="I573" s="530"/>
      <c r="J573" s="787"/>
      <c r="K573" s="513"/>
      <c r="L573" s="501"/>
      <c r="M573" s="530"/>
      <c r="N573" s="787"/>
      <c r="O573" s="513"/>
      <c r="P573" s="530"/>
      <c r="Q573" s="787"/>
      <c r="R573" s="530"/>
      <c r="S573" s="787"/>
      <c r="T573" s="530"/>
      <c r="U573" s="513"/>
      <c r="X573" s="513"/>
      <c r="Y573" s="513"/>
      <c r="Z573" s="513"/>
      <c r="AA573" s="513"/>
      <c r="AB573" s="513"/>
      <c r="AC573" s="513"/>
      <c r="AD573" s="530"/>
      <c r="AE573" s="530"/>
      <c r="AF573" s="530"/>
      <c r="AG573" s="530"/>
      <c r="AH573" s="530"/>
      <c r="AI573" s="530"/>
      <c r="AJ573" s="530"/>
      <c r="AK573" s="530"/>
      <c r="AL573" s="530"/>
      <c r="AM573" s="530"/>
    </row>
    <row r="574" spans="1:44" ht="15.75" x14ac:dyDescent="0.25">
      <c r="B574" s="70"/>
      <c r="H574" s="834"/>
      <c r="I574" s="530"/>
      <c r="J574" s="787"/>
      <c r="K574" s="513"/>
      <c r="L574" s="501"/>
      <c r="M574" s="530"/>
      <c r="N574" s="787"/>
      <c r="O574" s="513"/>
      <c r="P574" s="530"/>
      <c r="Q574" s="787"/>
      <c r="R574" s="530"/>
      <c r="S574" s="787"/>
      <c r="T574" s="530"/>
      <c r="U574" s="513"/>
      <c r="X574" s="513"/>
      <c r="Y574" s="513"/>
      <c r="Z574" s="513"/>
      <c r="AA574" s="513"/>
      <c r="AB574" s="513"/>
      <c r="AC574" s="513"/>
      <c r="AD574" s="530"/>
      <c r="AE574" s="530"/>
      <c r="AF574" s="530"/>
      <c r="AG574" s="530"/>
      <c r="AH574" s="530"/>
      <c r="AI574" s="530"/>
      <c r="AJ574" s="530"/>
      <c r="AK574" s="530"/>
      <c r="AL574" s="530"/>
      <c r="AM574" s="530"/>
    </row>
    <row r="575" spans="1:44" ht="15.75" x14ac:dyDescent="0.25">
      <c r="B575" s="70"/>
      <c r="H575" s="834"/>
      <c r="I575" s="530"/>
      <c r="J575" s="787"/>
      <c r="K575" s="513"/>
      <c r="L575" s="501"/>
      <c r="M575" s="530"/>
      <c r="N575" s="787"/>
      <c r="O575" s="513"/>
      <c r="P575" s="530"/>
      <c r="Q575" s="787"/>
      <c r="R575" s="530"/>
      <c r="S575" s="787"/>
      <c r="T575" s="530"/>
      <c r="U575" s="513"/>
      <c r="X575" s="513"/>
      <c r="Y575" s="513"/>
      <c r="Z575" s="513"/>
      <c r="AA575" s="513"/>
      <c r="AB575" s="513"/>
      <c r="AC575" s="513"/>
      <c r="AD575" s="530"/>
      <c r="AE575" s="530"/>
      <c r="AF575" s="530"/>
      <c r="AG575" s="530"/>
      <c r="AH575" s="530"/>
      <c r="AI575" s="530"/>
      <c r="AJ575" s="530"/>
      <c r="AK575" s="530"/>
      <c r="AL575" s="530"/>
      <c r="AM575" s="530"/>
    </row>
    <row r="576" spans="1:44" ht="15.75" x14ac:dyDescent="0.25">
      <c r="B576" s="70"/>
      <c r="H576" s="834"/>
      <c r="I576" s="530"/>
      <c r="J576" s="787"/>
      <c r="K576" s="513"/>
      <c r="L576" s="501"/>
      <c r="M576" s="530"/>
      <c r="N576" s="787"/>
      <c r="O576" s="513"/>
      <c r="P576" s="530"/>
      <c r="Q576" s="787"/>
      <c r="R576" s="530"/>
      <c r="S576" s="787"/>
      <c r="T576" s="530"/>
      <c r="U576" s="513"/>
      <c r="X576" s="513"/>
      <c r="Y576" s="513"/>
      <c r="Z576" s="513"/>
      <c r="AA576" s="513"/>
      <c r="AB576" s="513"/>
      <c r="AC576" s="513"/>
      <c r="AD576" s="530"/>
      <c r="AE576" s="530"/>
      <c r="AF576" s="530"/>
      <c r="AG576" s="530"/>
      <c r="AH576" s="530"/>
      <c r="AI576" s="530"/>
      <c r="AJ576" s="530"/>
      <c r="AK576" s="530"/>
      <c r="AL576" s="530"/>
      <c r="AM576" s="530"/>
    </row>
    <row r="577" spans="2:39" x14ac:dyDescent="0.25">
      <c r="B577" s="70"/>
      <c r="H577" s="834"/>
      <c r="I577" s="530"/>
      <c r="J577" s="787"/>
      <c r="K577" s="513"/>
      <c r="L577" s="513"/>
      <c r="M577" s="530"/>
      <c r="N577" s="787"/>
      <c r="O577" s="513"/>
      <c r="P577" s="530"/>
      <c r="Q577" s="787"/>
      <c r="R577" s="530"/>
      <c r="S577" s="787"/>
      <c r="T577" s="530"/>
      <c r="U577" s="513"/>
      <c r="X577" s="513"/>
      <c r="Y577" s="513"/>
      <c r="Z577" s="513"/>
      <c r="AA577" s="513"/>
      <c r="AB577" s="513"/>
      <c r="AC577" s="513"/>
      <c r="AD577" s="530"/>
      <c r="AE577" s="530"/>
      <c r="AF577" s="530"/>
      <c r="AG577" s="530"/>
      <c r="AH577" s="530"/>
      <c r="AI577" s="530"/>
      <c r="AJ577" s="530"/>
      <c r="AK577" s="530"/>
      <c r="AL577" s="530"/>
      <c r="AM577" s="530"/>
    </row>
    <row r="578" spans="2:39" x14ac:dyDescent="0.25">
      <c r="B578" s="70"/>
      <c r="H578" s="834"/>
      <c r="I578" s="530"/>
      <c r="J578" s="787"/>
      <c r="K578" s="513"/>
      <c r="L578" s="513"/>
      <c r="M578" s="530"/>
      <c r="N578" s="787"/>
      <c r="O578" s="513"/>
      <c r="P578" s="530"/>
      <c r="Q578" s="787"/>
      <c r="R578" s="530"/>
      <c r="S578" s="787"/>
      <c r="T578" s="530"/>
      <c r="U578" s="513"/>
      <c r="X578" s="513"/>
      <c r="Y578" s="513"/>
      <c r="Z578" s="513"/>
      <c r="AA578" s="513"/>
      <c r="AB578" s="513"/>
      <c r="AC578" s="513"/>
      <c r="AD578" s="530"/>
      <c r="AE578" s="530"/>
      <c r="AF578" s="530"/>
      <c r="AG578" s="530"/>
      <c r="AH578" s="530"/>
      <c r="AI578" s="530"/>
      <c r="AJ578" s="530"/>
      <c r="AK578" s="530"/>
      <c r="AL578" s="530"/>
      <c r="AM578" s="530"/>
    </row>
    <row r="579" spans="2:39" x14ac:dyDescent="0.25">
      <c r="B579" s="70"/>
      <c r="H579" s="834"/>
      <c r="I579" s="530"/>
      <c r="J579" s="787"/>
      <c r="K579" s="513"/>
      <c r="L579" s="513"/>
      <c r="M579" s="530"/>
      <c r="N579" s="787"/>
      <c r="O579" s="513"/>
      <c r="P579" s="530"/>
      <c r="Q579" s="787"/>
      <c r="R579" s="530"/>
      <c r="S579" s="787"/>
      <c r="T579" s="530"/>
      <c r="U579" s="513"/>
      <c r="X579" s="513"/>
      <c r="Y579" s="513"/>
      <c r="Z579" s="513"/>
      <c r="AA579" s="513"/>
      <c r="AB579" s="513"/>
      <c r="AC579" s="513"/>
      <c r="AD579" s="530"/>
      <c r="AE579" s="530"/>
      <c r="AF579" s="530"/>
      <c r="AG579" s="530"/>
      <c r="AH579" s="530"/>
      <c r="AI579" s="530"/>
      <c r="AJ579" s="530"/>
      <c r="AK579" s="530"/>
      <c r="AL579" s="530"/>
      <c r="AM579" s="530"/>
    </row>
    <row r="580" spans="2:39" x14ac:dyDescent="0.25">
      <c r="B580" s="70"/>
      <c r="H580" s="834"/>
      <c r="I580" s="530"/>
      <c r="J580" s="787"/>
      <c r="K580" s="513"/>
      <c r="L580" s="513"/>
      <c r="M580" s="530"/>
      <c r="N580" s="787"/>
      <c r="O580" s="513"/>
      <c r="P580" s="530"/>
      <c r="Q580" s="787"/>
      <c r="R580" s="530"/>
      <c r="S580" s="787"/>
      <c r="T580" s="530"/>
      <c r="U580" s="513"/>
      <c r="X580" s="513"/>
      <c r="Y580" s="513"/>
      <c r="Z580" s="513"/>
      <c r="AA580" s="513"/>
      <c r="AB580" s="513"/>
      <c r="AC580" s="513"/>
      <c r="AD580" s="530"/>
      <c r="AE580" s="530"/>
      <c r="AF580" s="530"/>
      <c r="AG580" s="530"/>
      <c r="AH580" s="530"/>
      <c r="AI580" s="530"/>
      <c r="AJ580" s="530"/>
      <c r="AK580" s="530"/>
      <c r="AL580" s="530"/>
      <c r="AM580" s="530"/>
    </row>
    <row r="581" spans="2:39" x14ac:dyDescent="0.25">
      <c r="B581" s="70"/>
      <c r="H581" s="834"/>
      <c r="I581" s="530"/>
      <c r="J581" s="787"/>
      <c r="K581" s="513"/>
      <c r="L581" s="513"/>
      <c r="M581" s="530"/>
      <c r="N581" s="787"/>
      <c r="O581" s="513"/>
      <c r="P581" s="530"/>
      <c r="Q581" s="787"/>
      <c r="R581" s="530"/>
      <c r="S581" s="787"/>
      <c r="T581" s="530"/>
      <c r="U581" s="513"/>
      <c r="X581" s="513"/>
      <c r="Y581" s="513"/>
      <c r="Z581" s="513"/>
      <c r="AA581" s="513"/>
      <c r="AB581" s="513"/>
      <c r="AC581" s="513"/>
      <c r="AD581" s="530"/>
      <c r="AE581" s="530"/>
      <c r="AF581" s="530"/>
      <c r="AG581" s="530"/>
      <c r="AH581" s="530"/>
      <c r="AI581" s="530"/>
      <c r="AJ581" s="530"/>
      <c r="AK581" s="530"/>
      <c r="AL581" s="530"/>
      <c r="AM581" s="530"/>
    </row>
    <row r="582" spans="2:39" x14ac:dyDescent="0.25">
      <c r="B582" s="70"/>
      <c r="H582" s="834"/>
      <c r="I582" s="530"/>
      <c r="J582" s="787"/>
      <c r="K582" s="513"/>
      <c r="L582" s="513"/>
      <c r="M582" s="530"/>
      <c r="N582" s="787"/>
      <c r="O582" s="513"/>
      <c r="P582" s="530"/>
      <c r="Q582" s="787"/>
      <c r="R582" s="530"/>
      <c r="S582" s="787"/>
      <c r="T582" s="530"/>
      <c r="U582" s="513"/>
      <c r="X582" s="513"/>
      <c r="Y582" s="513"/>
      <c r="Z582" s="513"/>
      <c r="AA582" s="513"/>
      <c r="AB582" s="513"/>
      <c r="AC582" s="513"/>
      <c r="AD582" s="530"/>
      <c r="AE582" s="530"/>
      <c r="AF582" s="530"/>
      <c r="AG582" s="530"/>
      <c r="AH582" s="530"/>
      <c r="AI582" s="530"/>
      <c r="AJ582" s="530"/>
      <c r="AK582" s="530"/>
      <c r="AL582" s="530"/>
      <c r="AM582" s="530"/>
    </row>
    <row r="583" spans="2:39" x14ac:dyDescent="0.25">
      <c r="B583" s="70"/>
      <c r="H583" s="834"/>
      <c r="I583" s="530"/>
      <c r="J583" s="787"/>
      <c r="K583" s="513"/>
      <c r="L583" s="513"/>
      <c r="M583" s="530"/>
      <c r="N583" s="787"/>
      <c r="O583" s="513"/>
      <c r="P583" s="530"/>
      <c r="Q583" s="787"/>
      <c r="R583" s="530"/>
      <c r="S583" s="787"/>
      <c r="T583" s="530"/>
      <c r="U583" s="513"/>
      <c r="X583" s="513"/>
      <c r="Y583" s="513"/>
      <c r="Z583" s="513"/>
      <c r="AA583" s="513"/>
      <c r="AB583" s="513"/>
      <c r="AC583" s="513"/>
      <c r="AD583" s="530"/>
      <c r="AE583" s="530"/>
      <c r="AF583" s="530"/>
      <c r="AG583" s="530"/>
      <c r="AH583" s="530"/>
      <c r="AI583" s="530"/>
      <c r="AJ583" s="530"/>
      <c r="AK583" s="530"/>
      <c r="AL583" s="530"/>
      <c r="AM583" s="530"/>
    </row>
    <row r="584" spans="2:39" x14ac:dyDescent="0.25">
      <c r="B584" s="70"/>
      <c r="H584" s="834"/>
      <c r="I584" s="530"/>
      <c r="J584" s="787"/>
      <c r="K584" s="513"/>
      <c r="L584" s="513"/>
      <c r="M584" s="530"/>
      <c r="N584" s="787"/>
      <c r="O584" s="513"/>
      <c r="P584" s="530"/>
      <c r="Q584" s="787"/>
      <c r="R584" s="530"/>
      <c r="S584" s="787"/>
      <c r="T584" s="530"/>
      <c r="U584" s="513"/>
      <c r="X584" s="513"/>
      <c r="Y584" s="513"/>
      <c r="Z584" s="513"/>
      <c r="AA584" s="513"/>
      <c r="AB584" s="513"/>
      <c r="AC584" s="513"/>
      <c r="AD584" s="530"/>
      <c r="AE584" s="530"/>
      <c r="AF584" s="530"/>
      <c r="AG584" s="530"/>
      <c r="AH584" s="530"/>
      <c r="AI584" s="530"/>
      <c r="AJ584" s="530"/>
      <c r="AK584" s="530"/>
      <c r="AL584" s="530"/>
      <c r="AM584" s="530"/>
    </row>
    <row r="585" spans="2:39" x14ac:dyDescent="0.25">
      <c r="B585" s="70"/>
      <c r="H585" s="834"/>
      <c r="I585" s="530"/>
      <c r="J585" s="787"/>
      <c r="K585" s="513"/>
      <c r="L585" s="513"/>
      <c r="M585" s="530"/>
      <c r="N585" s="787"/>
      <c r="O585" s="513"/>
      <c r="P585" s="530"/>
      <c r="Q585" s="787"/>
      <c r="R585" s="530"/>
      <c r="S585" s="787"/>
      <c r="T585" s="530"/>
      <c r="U585" s="513"/>
      <c r="X585" s="513"/>
      <c r="Y585" s="513"/>
      <c r="Z585" s="513"/>
      <c r="AA585" s="513"/>
      <c r="AB585" s="513"/>
      <c r="AC585" s="513"/>
      <c r="AD585" s="530"/>
      <c r="AE585" s="530"/>
      <c r="AF585" s="530"/>
      <c r="AG585" s="530"/>
      <c r="AH585" s="530"/>
      <c r="AI585" s="530"/>
      <c r="AJ585" s="530"/>
      <c r="AK585" s="530"/>
      <c r="AL585" s="530"/>
      <c r="AM585" s="530"/>
    </row>
    <row r="586" spans="2:39" x14ac:dyDescent="0.25">
      <c r="B586" s="70"/>
      <c r="H586" s="834"/>
      <c r="I586" s="530"/>
      <c r="J586" s="787"/>
      <c r="K586" s="513"/>
      <c r="L586" s="513"/>
      <c r="M586" s="530"/>
      <c r="N586" s="787"/>
      <c r="O586" s="513"/>
      <c r="P586" s="530"/>
      <c r="Q586" s="787"/>
      <c r="R586" s="530"/>
      <c r="S586" s="787"/>
      <c r="T586" s="530"/>
      <c r="U586" s="513"/>
      <c r="X586" s="513"/>
      <c r="Y586" s="513"/>
      <c r="Z586" s="513"/>
      <c r="AA586" s="513"/>
      <c r="AB586" s="513"/>
      <c r="AC586" s="513"/>
      <c r="AD586" s="530"/>
      <c r="AE586" s="530"/>
      <c r="AF586" s="530"/>
      <c r="AG586" s="530"/>
      <c r="AH586" s="530"/>
      <c r="AI586" s="530"/>
      <c r="AJ586" s="530"/>
      <c r="AK586" s="530"/>
      <c r="AL586" s="530"/>
      <c r="AM586" s="530"/>
    </row>
    <row r="587" spans="2:39" x14ac:dyDescent="0.25">
      <c r="B587" s="70"/>
      <c r="H587" s="834"/>
      <c r="I587" s="530"/>
      <c r="J587" s="787"/>
      <c r="K587" s="513"/>
      <c r="L587" s="513"/>
      <c r="M587" s="530"/>
      <c r="N587" s="787"/>
      <c r="O587" s="513"/>
      <c r="P587" s="530"/>
      <c r="Q587" s="787"/>
      <c r="R587" s="530"/>
      <c r="S587" s="787"/>
      <c r="T587" s="530"/>
      <c r="U587" s="513"/>
      <c r="X587" s="513"/>
      <c r="Y587" s="513"/>
      <c r="Z587" s="513"/>
      <c r="AA587" s="513"/>
      <c r="AB587" s="513"/>
      <c r="AC587" s="513"/>
      <c r="AD587" s="530"/>
      <c r="AE587" s="530"/>
      <c r="AF587" s="530"/>
      <c r="AG587" s="530"/>
      <c r="AH587" s="530"/>
      <c r="AI587" s="530"/>
      <c r="AJ587" s="530"/>
      <c r="AK587" s="530"/>
      <c r="AL587" s="530"/>
      <c r="AM587" s="530"/>
    </row>
    <row r="588" spans="2:39" x14ac:dyDescent="0.25">
      <c r="B588" s="70"/>
      <c r="C588" s="339"/>
      <c r="D588" s="530"/>
      <c r="E588" s="787"/>
      <c r="F588" s="513"/>
      <c r="G588" s="513"/>
      <c r="H588" s="834"/>
      <c r="I588" s="530"/>
      <c r="J588" s="787"/>
      <c r="K588" s="513"/>
      <c r="L588" s="513"/>
      <c r="M588" s="530"/>
      <c r="N588" s="787"/>
      <c r="O588" s="513"/>
      <c r="P588" s="530"/>
      <c r="Q588" s="787"/>
      <c r="R588" s="530"/>
      <c r="S588" s="787"/>
      <c r="T588" s="530"/>
      <c r="U588" s="513"/>
      <c r="X588" s="513"/>
      <c r="Y588" s="513"/>
      <c r="Z588" s="513"/>
      <c r="AA588" s="513"/>
      <c r="AB588" s="513"/>
      <c r="AC588" s="513"/>
      <c r="AD588" s="530"/>
      <c r="AE588" s="530"/>
      <c r="AF588" s="530"/>
      <c r="AG588" s="530"/>
      <c r="AH588" s="530"/>
      <c r="AI588" s="530"/>
      <c r="AJ588" s="530"/>
      <c r="AK588" s="530"/>
      <c r="AL588" s="530"/>
      <c r="AM588" s="530"/>
    </row>
    <row r="589" spans="2:39" x14ac:dyDescent="0.25">
      <c r="B589" s="70"/>
      <c r="C589" s="339"/>
      <c r="D589" s="530"/>
      <c r="E589" s="787"/>
      <c r="F589" s="513"/>
      <c r="G589" s="513"/>
      <c r="H589" s="834"/>
      <c r="I589" s="530"/>
      <c r="J589" s="787"/>
      <c r="K589" s="513"/>
      <c r="L589" s="513"/>
      <c r="M589" s="530"/>
      <c r="N589" s="787"/>
      <c r="O589" s="513"/>
      <c r="P589" s="530"/>
      <c r="Q589" s="787"/>
      <c r="R589" s="530"/>
      <c r="S589" s="787"/>
      <c r="T589" s="530"/>
      <c r="U589" s="513"/>
      <c r="X589" s="513"/>
      <c r="Y589" s="513"/>
      <c r="Z589" s="513"/>
      <c r="AA589" s="513"/>
      <c r="AB589" s="513"/>
      <c r="AC589" s="513"/>
      <c r="AD589" s="530"/>
      <c r="AE589" s="530"/>
      <c r="AF589" s="530"/>
      <c r="AG589" s="530"/>
      <c r="AH589" s="530"/>
      <c r="AI589" s="530"/>
      <c r="AJ589" s="530"/>
      <c r="AK589" s="530"/>
      <c r="AL589" s="530"/>
      <c r="AM589" s="530"/>
    </row>
    <row r="590" spans="2:39" x14ac:dyDescent="0.25">
      <c r="B590" s="70"/>
      <c r="C590" s="339"/>
      <c r="D590" s="530"/>
      <c r="E590" s="787"/>
      <c r="F590" s="513"/>
      <c r="G590" s="513"/>
      <c r="H590" s="834"/>
      <c r="I590" s="530"/>
      <c r="J590" s="787"/>
      <c r="K590" s="513"/>
      <c r="L590" s="513"/>
      <c r="M590" s="530"/>
      <c r="N590" s="787"/>
      <c r="O590" s="513"/>
      <c r="P590" s="530"/>
      <c r="Q590" s="787"/>
      <c r="R590" s="530"/>
      <c r="S590" s="787"/>
      <c r="T590" s="530"/>
      <c r="U590" s="513"/>
      <c r="X590" s="513"/>
      <c r="Y590" s="513"/>
      <c r="Z590" s="513"/>
      <c r="AA590" s="513"/>
      <c r="AB590" s="513"/>
      <c r="AC590" s="513"/>
      <c r="AD590" s="530"/>
      <c r="AE590" s="530"/>
      <c r="AF590" s="530"/>
      <c r="AG590" s="530"/>
      <c r="AH590" s="530"/>
      <c r="AI590" s="530"/>
      <c r="AJ590" s="530"/>
      <c r="AK590" s="530"/>
      <c r="AL590" s="530"/>
      <c r="AM590" s="530"/>
    </row>
    <row r="591" spans="2:39" x14ac:dyDescent="0.25">
      <c r="B591" s="70"/>
      <c r="C591" s="339"/>
      <c r="D591" s="530"/>
      <c r="E591" s="787"/>
      <c r="F591" s="513"/>
      <c r="G591" s="513"/>
      <c r="H591" s="834"/>
      <c r="I591" s="530"/>
      <c r="J591" s="787"/>
      <c r="K591" s="513"/>
      <c r="L591" s="513"/>
      <c r="M591" s="530"/>
      <c r="N591" s="787"/>
      <c r="O591" s="513"/>
      <c r="P591" s="530"/>
      <c r="Q591" s="787"/>
      <c r="R591" s="530"/>
      <c r="S591" s="787"/>
      <c r="T591" s="530"/>
      <c r="U591" s="513"/>
      <c r="X591" s="513"/>
      <c r="Y591" s="513"/>
      <c r="Z591" s="513"/>
      <c r="AA591" s="513"/>
      <c r="AB591" s="513"/>
      <c r="AC591" s="513"/>
      <c r="AD591" s="530"/>
      <c r="AE591" s="530"/>
      <c r="AF591" s="530"/>
      <c r="AG591" s="530"/>
      <c r="AH591" s="530"/>
      <c r="AI591" s="530"/>
      <c r="AJ591" s="530"/>
      <c r="AK591" s="530"/>
      <c r="AL591" s="530"/>
      <c r="AM591" s="530"/>
    </row>
    <row r="592" spans="2:39" x14ac:dyDescent="0.25">
      <c r="B592" s="70"/>
      <c r="C592" s="339"/>
      <c r="D592" s="530"/>
      <c r="E592" s="787"/>
      <c r="F592" s="513"/>
      <c r="G592" s="513"/>
      <c r="H592" s="834"/>
      <c r="I592" s="530"/>
      <c r="J592" s="787"/>
      <c r="K592" s="513"/>
      <c r="L592" s="513"/>
      <c r="M592" s="530"/>
      <c r="N592" s="787"/>
      <c r="O592" s="513"/>
      <c r="P592" s="530"/>
      <c r="Q592" s="787"/>
      <c r="R592" s="530"/>
      <c r="S592" s="787"/>
      <c r="T592" s="530"/>
      <c r="U592" s="513"/>
      <c r="X592" s="513"/>
      <c r="Y592" s="513"/>
      <c r="Z592" s="513"/>
      <c r="AA592" s="513"/>
      <c r="AB592" s="513"/>
      <c r="AC592" s="513"/>
      <c r="AD592" s="530"/>
      <c r="AE592" s="530"/>
      <c r="AF592" s="530"/>
      <c r="AG592" s="530"/>
      <c r="AH592" s="530"/>
      <c r="AI592" s="530"/>
      <c r="AJ592" s="530"/>
      <c r="AK592" s="530"/>
      <c r="AL592" s="530"/>
      <c r="AM592" s="530"/>
    </row>
    <row r="593" spans="2:39" x14ac:dyDescent="0.25">
      <c r="B593" s="70"/>
      <c r="C593" s="339"/>
      <c r="D593" s="530"/>
      <c r="E593" s="787"/>
      <c r="F593" s="513"/>
      <c r="G593" s="513"/>
      <c r="H593" s="834"/>
      <c r="I593" s="530"/>
      <c r="J593" s="787"/>
      <c r="K593" s="513"/>
      <c r="L593" s="513"/>
      <c r="M593" s="530"/>
      <c r="N593" s="787"/>
      <c r="O593" s="513"/>
      <c r="P593" s="530"/>
      <c r="Q593" s="787"/>
      <c r="R593" s="530"/>
      <c r="S593" s="787"/>
      <c r="T593" s="530"/>
      <c r="U593" s="513"/>
      <c r="X593" s="513"/>
      <c r="Y593" s="513"/>
      <c r="Z593" s="513"/>
      <c r="AA593" s="513"/>
      <c r="AB593" s="513"/>
      <c r="AC593" s="513"/>
      <c r="AD593" s="530"/>
      <c r="AE593" s="530"/>
      <c r="AF593" s="530"/>
      <c r="AG593" s="530"/>
      <c r="AH593" s="530"/>
      <c r="AI593" s="530"/>
      <c r="AJ593" s="530"/>
      <c r="AK593" s="530"/>
      <c r="AL593" s="530"/>
      <c r="AM593" s="530"/>
    </row>
    <row r="594" spans="2:39" x14ac:dyDescent="0.25">
      <c r="B594" s="70"/>
      <c r="C594" s="339"/>
      <c r="D594" s="530"/>
      <c r="E594" s="787"/>
      <c r="F594" s="513"/>
      <c r="G594" s="513"/>
      <c r="H594" s="834"/>
      <c r="I594" s="530"/>
      <c r="J594" s="787"/>
      <c r="K594" s="513"/>
      <c r="L594" s="513"/>
      <c r="M594" s="530"/>
      <c r="N594" s="787"/>
      <c r="O594" s="513"/>
      <c r="P594" s="530"/>
      <c r="Q594" s="787"/>
      <c r="R594" s="530"/>
      <c r="S594" s="787"/>
      <c r="T594" s="530"/>
      <c r="U594" s="513"/>
      <c r="X594" s="513"/>
      <c r="Y594" s="513"/>
      <c r="Z594" s="513"/>
      <c r="AA594" s="513"/>
      <c r="AB594" s="513"/>
      <c r="AC594" s="513"/>
      <c r="AD594" s="530"/>
      <c r="AE594" s="530"/>
      <c r="AF594" s="530"/>
      <c r="AG594" s="530"/>
      <c r="AH594" s="530"/>
      <c r="AI594" s="530"/>
      <c r="AJ594" s="530"/>
      <c r="AK594" s="530"/>
      <c r="AL594" s="530"/>
      <c r="AM594" s="530"/>
    </row>
    <row r="595" spans="2:39" x14ac:dyDescent="0.25">
      <c r="B595" s="70"/>
      <c r="C595" s="339"/>
      <c r="D595" s="530"/>
      <c r="E595" s="787"/>
      <c r="F595" s="513"/>
      <c r="G595" s="513"/>
      <c r="H595" s="834"/>
      <c r="I595" s="530"/>
      <c r="J595" s="787"/>
      <c r="K595" s="513"/>
      <c r="L595" s="513"/>
      <c r="M595" s="530"/>
      <c r="N595" s="787"/>
      <c r="O595" s="513"/>
      <c r="P595" s="530"/>
      <c r="Q595" s="787"/>
      <c r="R595" s="530"/>
      <c r="S595" s="787"/>
      <c r="T595" s="530"/>
      <c r="U595" s="513"/>
      <c r="X595" s="513"/>
      <c r="Y595" s="513"/>
      <c r="Z595" s="513"/>
      <c r="AA595" s="513"/>
      <c r="AB595" s="513"/>
      <c r="AC595" s="513"/>
      <c r="AD595" s="530"/>
      <c r="AE595" s="530"/>
      <c r="AF595" s="530"/>
      <c r="AG595" s="530"/>
      <c r="AH595" s="530"/>
      <c r="AI595" s="530"/>
      <c r="AJ595" s="530"/>
      <c r="AK595" s="530"/>
      <c r="AL595" s="530"/>
      <c r="AM595" s="530"/>
    </row>
    <row r="596" spans="2:39" x14ac:dyDescent="0.25">
      <c r="B596" s="70"/>
      <c r="C596" s="339"/>
      <c r="D596" s="530"/>
      <c r="E596" s="787"/>
      <c r="F596" s="513"/>
      <c r="G596" s="513"/>
      <c r="H596" s="834"/>
      <c r="I596" s="530"/>
      <c r="J596" s="787"/>
      <c r="K596" s="513"/>
      <c r="L596" s="513"/>
      <c r="M596" s="530"/>
      <c r="N596" s="787"/>
      <c r="O596" s="513"/>
      <c r="P596" s="530"/>
      <c r="Q596" s="787"/>
      <c r="R596" s="530"/>
      <c r="S596" s="787"/>
      <c r="T596" s="530"/>
      <c r="U596" s="513"/>
      <c r="X596" s="513"/>
      <c r="Y596" s="513"/>
      <c r="Z596" s="513"/>
      <c r="AA596" s="513"/>
      <c r="AB596" s="513"/>
      <c r="AC596" s="513"/>
      <c r="AD596" s="530"/>
      <c r="AE596" s="530"/>
      <c r="AF596" s="530"/>
      <c r="AG596" s="530"/>
      <c r="AH596" s="530"/>
      <c r="AI596" s="530"/>
      <c r="AJ596" s="530"/>
      <c r="AK596" s="530"/>
      <c r="AL596" s="530"/>
      <c r="AM596" s="530"/>
    </row>
    <row r="597" spans="2:39" x14ac:dyDescent="0.25">
      <c r="B597" s="70"/>
      <c r="C597" s="339"/>
      <c r="D597" s="530"/>
      <c r="E597" s="787"/>
      <c r="F597" s="513"/>
      <c r="G597" s="513"/>
      <c r="H597" s="834"/>
      <c r="I597" s="530"/>
      <c r="J597" s="787"/>
      <c r="K597" s="513"/>
      <c r="L597" s="513"/>
      <c r="M597" s="530"/>
      <c r="N597" s="787"/>
      <c r="O597" s="513"/>
      <c r="P597" s="530"/>
      <c r="Q597" s="787"/>
      <c r="R597" s="530"/>
      <c r="S597" s="787"/>
      <c r="T597" s="530"/>
      <c r="U597" s="513"/>
      <c r="X597" s="513"/>
      <c r="Y597" s="513"/>
      <c r="Z597" s="513"/>
      <c r="AA597" s="513"/>
      <c r="AB597" s="513"/>
      <c r="AC597" s="513"/>
      <c r="AD597" s="530"/>
      <c r="AE597" s="530"/>
      <c r="AF597" s="530"/>
      <c r="AG597" s="530"/>
      <c r="AH597" s="530"/>
      <c r="AI597" s="530"/>
      <c r="AJ597" s="530"/>
      <c r="AK597" s="530"/>
      <c r="AL597" s="530"/>
      <c r="AM597" s="530"/>
    </row>
    <row r="598" spans="2:39" x14ac:dyDescent="0.25">
      <c r="B598" s="70"/>
      <c r="C598" s="339"/>
      <c r="D598" s="530"/>
      <c r="E598" s="787"/>
      <c r="F598" s="513"/>
      <c r="G598" s="513"/>
      <c r="H598" s="834"/>
      <c r="I598" s="530"/>
      <c r="J598" s="787"/>
      <c r="K598" s="513"/>
      <c r="L598" s="513"/>
      <c r="M598" s="530"/>
      <c r="N598" s="787"/>
      <c r="O598" s="513"/>
      <c r="P598" s="530"/>
      <c r="Q598" s="787"/>
      <c r="R598" s="530"/>
      <c r="S598" s="787"/>
      <c r="T598" s="530"/>
      <c r="U598" s="513"/>
      <c r="X598" s="513"/>
      <c r="Y598" s="513"/>
      <c r="Z598" s="513"/>
      <c r="AA598" s="513"/>
      <c r="AB598" s="513"/>
      <c r="AC598" s="513"/>
      <c r="AD598" s="530"/>
      <c r="AE598" s="530"/>
      <c r="AF598" s="530"/>
      <c r="AG598" s="530"/>
      <c r="AH598" s="530"/>
      <c r="AI598" s="530"/>
      <c r="AJ598" s="530"/>
      <c r="AK598" s="530"/>
      <c r="AL598" s="530"/>
      <c r="AM598" s="530"/>
    </row>
    <row r="599" spans="2:39" x14ac:dyDescent="0.25">
      <c r="B599" s="70"/>
      <c r="C599" s="339"/>
      <c r="D599" s="530"/>
      <c r="E599" s="787"/>
      <c r="F599" s="513"/>
      <c r="G599" s="513"/>
      <c r="H599" s="834"/>
      <c r="I599" s="530"/>
      <c r="J599" s="787"/>
      <c r="K599" s="513"/>
      <c r="L599" s="513"/>
      <c r="M599" s="530"/>
      <c r="N599" s="787"/>
      <c r="O599" s="513"/>
      <c r="P599" s="530"/>
      <c r="Q599" s="787"/>
      <c r="R599" s="530"/>
      <c r="S599" s="787"/>
      <c r="T599" s="530"/>
      <c r="U599" s="513"/>
      <c r="X599" s="513"/>
      <c r="Y599" s="513"/>
      <c r="Z599" s="513"/>
      <c r="AA599" s="513"/>
      <c r="AB599" s="513"/>
      <c r="AC599" s="513"/>
      <c r="AD599" s="530"/>
      <c r="AE599" s="530"/>
      <c r="AF599" s="530"/>
      <c r="AG599" s="530"/>
      <c r="AH599" s="530"/>
      <c r="AI599" s="530"/>
      <c r="AJ599" s="530"/>
      <c r="AK599" s="530"/>
      <c r="AL599" s="530"/>
      <c r="AM599" s="530"/>
    </row>
    <row r="600" spans="2:39" x14ac:dyDescent="0.25">
      <c r="B600" s="70"/>
      <c r="C600" s="339"/>
      <c r="D600" s="530"/>
      <c r="E600" s="787"/>
      <c r="F600" s="513"/>
      <c r="G600" s="513"/>
      <c r="H600" s="834"/>
      <c r="I600" s="530"/>
      <c r="J600" s="787"/>
      <c r="K600" s="513"/>
      <c r="L600" s="513"/>
      <c r="M600" s="530"/>
      <c r="N600" s="787"/>
      <c r="O600" s="513"/>
      <c r="P600" s="530"/>
      <c r="Q600" s="787"/>
      <c r="R600" s="530"/>
      <c r="S600" s="787"/>
      <c r="T600" s="530"/>
      <c r="U600" s="513"/>
      <c r="X600" s="513"/>
      <c r="Y600" s="513"/>
      <c r="Z600" s="513"/>
      <c r="AA600" s="513"/>
      <c r="AB600" s="513"/>
      <c r="AC600" s="513"/>
      <c r="AD600" s="530"/>
      <c r="AE600" s="530"/>
      <c r="AF600" s="530"/>
      <c r="AG600" s="530"/>
      <c r="AH600" s="530"/>
      <c r="AI600" s="530"/>
      <c r="AJ600" s="530"/>
      <c r="AK600" s="530"/>
      <c r="AL600" s="530"/>
      <c r="AM600" s="530"/>
    </row>
    <row r="601" spans="2:39" x14ac:dyDescent="0.25">
      <c r="B601" s="70"/>
      <c r="C601" s="339"/>
      <c r="D601" s="530"/>
      <c r="E601" s="787"/>
      <c r="F601" s="513"/>
      <c r="G601" s="513"/>
      <c r="H601" s="834"/>
      <c r="I601" s="530"/>
      <c r="J601" s="787"/>
      <c r="K601" s="513"/>
      <c r="L601" s="513"/>
      <c r="M601" s="530"/>
      <c r="N601" s="787"/>
      <c r="O601" s="513"/>
      <c r="P601" s="530"/>
      <c r="Q601" s="787"/>
      <c r="R601" s="530"/>
      <c r="S601" s="787"/>
      <c r="T601" s="530"/>
      <c r="U601" s="513"/>
      <c r="X601" s="513"/>
      <c r="Y601" s="513"/>
      <c r="Z601" s="513"/>
      <c r="AA601" s="513"/>
      <c r="AB601" s="513"/>
      <c r="AC601" s="513"/>
      <c r="AD601" s="530"/>
      <c r="AE601" s="530"/>
      <c r="AF601" s="530"/>
      <c r="AG601" s="530"/>
      <c r="AH601" s="530"/>
      <c r="AI601" s="530"/>
      <c r="AJ601" s="530"/>
      <c r="AK601" s="530"/>
      <c r="AL601" s="530"/>
      <c r="AM601" s="530"/>
    </row>
    <row r="602" spans="2:39" x14ac:dyDescent="0.25">
      <c r="B602" s="70"/>
      <c r="C602" s="339"/>
      <c r="D602" s="530"/>
      <c r="E602" s="787"/>
      <c r="F602" s="513"/>
      <c r="G602" s="513"/>
      <c r="H602" s="834"/>
      <c r="I602" s="530"/>
      <c r="J602" s="787"/>
      <c r="K602" s="513"/>
      <c r="L602" s="513"/>
      <c r="M602" s="530"/>
      <c r="N602" s="787"/>
      <c r="O602" s="513"/>
      <c r="P602" s="530"/>
      <c r="Q602" s="787"/>
      <c r="R602" s="530"/>
      <c r="S602" s="787"/>
      <c r="T602" s="530"/>
      <c r="U602" s="513"/>
      <c r="X602" s="513"/>
      <c r="Y602" s="513"/>
      <c r="Z602" s="513"/>
      <c r="AA602" s="513"/>
      <c r="AB602" s="513"/>
      <c r="AC602" s="513"/>
      <c r="AD602" s="530"/>
      <c r="AE602" s="530"/>
      <c r="AF602" s="530"/>
      <c r="AG602" s="530"/>
      <c r="AH602" s="530"/>
      <c r="AI602" s="530"/>
      <c r="AJ602" s="530"/>
      <c r="AK602" s="530"/>
      <c r="AL602" s="530"/>
      <c r="AM602" s="530"/>
    </row>
    <row r="603" spans="2:39" x14ac:dyDescent="0.25">
      <c r="B603" s="70"/>
      <c r="C603" s="339"/>
      <c r="D603" s="530"/>
      <c r="E603" s="787"/>
      <c r="F603" s="513"/>
      <c r="G603" s="513"/>
      <c r="H603" s="834"/>
      <c r="I603" s="530"/>
      <c r="J603" s="787"/>
      <c r="K603" s="513"/>
      <c r="L603" s="513"/>
      <c r="M603" s="530"/>
      <c r="N603" s="787"/>
      <c r="O603" s="513"/>
      <c r="P603" s="530"/>
      <c r="Q603" s="787"/>
      <c r="R603" s="530"/>
      <c r="S603" s="787"/>
      <c r="T603" s="530"/>
      <c r="U603" s="513"/>
      <c r="X603" s="513"/>
      <c r="Y603" s="513"/>
      <c r="Z603" s="513"/>
      <c r="AA603" s="513"/>
      <c r="AB603" s="513"/>
      <c r="AC603" s="513"/>
      <c r="AD603" s="530"/>
      <c r="AE603" s="530"/>
      <c r="AF603" s="530"/>
      <c r="AG603" s="530"/>
      <c r="AH603" s="530"/>
      <c r="AI603" s="530"/>
      <c r="AJ603" s="530"/>
      <c r="AK603" s="530"/>
      <c r="AL603" s="530"/>
      <c r="AM603" s="530"/>
    </row>
    <row r="604" spans="2:39" x14ac:dyDescent="0.25">
      <c r="B604" s="70"/>
      <c r="C604" s="339"/>
      <c r="D604" s="530"/>
      <c r="E604" s="787"/>
      <c r="F604" s="513"/>
      <c r="G604" s="513"/>
      <c r="H604" s="834"/>
      <c r="I604" s="530"/>
      <c r="J604" s="787"/>
      <c r="K604" s="513"/>
      <c r="L604" s="513"/>
      <c r="M604" s="530"/>
      <c r="N604" s="787"/>
      <c r="O604" s="513"/>
      <c r="P604" s="530"/>
      <c r="Q604" s="787"/>
      <c r="R604" s="530"/>
      <c r="S604" s="787"/>
      <c r="T604" s="530"/>
      <c r="U604" s="513"/>
      <c r="X604" s="513"/>
      <c r="Y604" s="513"/>
      <c r="Z604" s="513"/>
      <c r="AA604" s="513"/>
      <c r="AB604" s="513"/>
      <c r="AC604" s="513"/>
      <c r="AD604" s="530"/>
      <c r="AE604" s="530"/>
      <c r="AF604" s="530"/>
      <c r="AG604" s="530"/>
      <c r="AH604" s="530"/>
      <c r="AI604" s="530"/>
      <c r="AJ604" s="530"/>
      <c r="AK604" s="530"/>
      <c r="AL604" s="530"/>
      <c r="AM604" s="530"/>
    </row>
    <row r="605" spans="2:39" x14ac:dyDescent="0.25">
      <c r="B605" s="70"/>
      <c r="C605" s="339"/>
      <c r="D605" s="530"/>
      <c r="E605" s="787"/>
      <c r="F605" s="513"/>
      <c r="G605" s="513"/>
      <c r="H605" s="834"/>
      <c r="I605" s="530"/>
      <c r="J605" s="787"/>
      <c r="K605" s="513"/>
      <c r="L605" s="513"/>
      <c r="M605" s="530"/>
      <c r="N605" s="787"/>
      <c r="O605" s="513"/>
      <c r="P605" s="530"/>
      <c r="Q605" s="787"/>
      <c r="R605" s="530"/>
      <c r="S605" s="787"/>
      <c r="T605" s="530"/>
      <c r="U605" s="513"/>
      <c r="X605" s="513"/>
      <c r="Y605" s="513"/>
      <c r="Z605" s="513"/>
      <c r="AA605" s="513"/>
      <c r="AB605" s="513"/>
      <c r="AC605" s="513"/>
      <c r="AD605" s="530"/>
      <c r="AE605" s="530"/>
      <c r="AF605" s="530"/>
      <c r="AG605" s="530"/>
      <c r="AH605" s="530"/>
      <c r="AI605" s="530"/>
      <c r="AJ605" s="530"/>
      <c r="AK605" s="530"/>
      <c r="AL605" s="530"/>
      <c r="AM605" s="530"/>
    </row>
    <row r="606" spans="2:39" x14ac:dyDescent="0.25">
      <c r="B606" s="70"/>
      <c r="C606" s="339"/>
      <c r="D606" s="530"/>
      <c r="E606" s="787"/>
      <c r="F606" s="513"/>
      <c r="G606" s="513"/>
      <c r="H606" s="834"/>
      <c r="I606" s="530"/>
      <c r="J606" s="787"/>
      <c r="K606" s="513"/>
      <c r="L606" s="513"/>
      <c r="M606" s="530"/>
      <c r="N606" s="787"/>
      <c r="O606" s="513"/>
      <c r="P606" s="530"/>
      <c r="Q606" s="787"/>
      <c r="R606" s="530"/>
      <c r="S606" s="787"/>
      <c r="T606" s="530"/>
      <c r="U606" s="513"/>
      <c r="X606" s="513"/>
      <c r="Y606" s="513"/>
      <c r="Z606" s="513"/>
      <c r="AA606" s="513"/>
      <c r="AB606" s="513"/>
      <c r="AC606" s="513"/>
      <c r="AD606" s="530"/>
      <c r="AE606" s="530"/>
      <c r="AF606" s="530"/>
      <c r="AG606" s="530"/>
      <c r="AH606" s="530"/>
      <c r="AI606" s="530"/>
      <c r="AJ606" s="530"/>
      <c r="AK606" s="530"/>
      <c r="AL606" s="530"/>
      <c r="AM606" s="530"/>
    </row>
    <row r="607" spans="2:39" x14ac:dyDescent="0.25">
      <c r="B607" s="70"/>
      <c r="C607" s="339"/>
      <c r="D607" s="530"/>
      <c r="E607" s="787"/>
      <c r="F607" s="513"/>
      <c r="G607" s="513"/>
      <c r="H607" s="834"/>
      <c r="I607" s="530"/>
      <c r="J607" s="787"/>
      <c r="K607" s="513"/>
      <c r="L607" s="513"/>
      <c r="M607" s="530"/>
      <c r="N607" s="787"/>
      <c r="O607" s="513"/>
      <c r="P607" s="530"/>
      <c r="Q607" s="787"/>
      <c r="R607" s="530"/>
      <c r="S607" s="787"/>
      <c r="T607" s="530"/>
      <c r="U607" s="513"/>
      <c r="X607" s="513"/>
      <c r="Y607" s="513"/>
      <c r="Z607" s="513"/>
      <c r="AA607" s="513"/>
      <c r="AB607" s="513"/>
      <c r="AC607" s="513"/>
      <c r="AD607" s="530"/>
      <c r="AE607" s="530"/>
      <c r="AF607" s="530"/>
      <c r="AG607" s="530"/>
      <c r="AH607" s="530"/>
      <c r="AI607" s="530"/>
      <c r="AJ607" s="530"/>
      <c r="AK607" s="530"/>
      <c r="AL607" s="530"/>
      <c r="AM607" s="530"/>
    </row>
    <row r="608" spans="2:39" x14ac:dyDescent="0.25">
      <c r="B608" s="70"/>
      <c r="C608" s="339"/>
      <c r="D608" s="530"/>
      <c r="E608" s="787"/>
      <c r="F608" s="513"/>
      <c r="G608" s="513"/>
      <c r="H608" s="834"/>
      <c r="I608" s="530"/>
      <c r="J608" s="787"/>
      <c r="K608" s="513"/>
      <c r="L608" s="513"/>
      <c r="M608" s="530"/>
      <c r="N608" s="787"/>
      <c r="O608" s="513"/>
      <c r="P608" s="530"/>
      <c r="Q608" s="787"/>
      <c r="R608" s="530"/>
      <c r="S608" s="787"/>
      <c r="T608" s="530"/>
      <c r="U608" s="513"/>
      <c r="X608" s="513"/>
      <c r="Y608" s="513"/>
      <c r="Z608" s="513"/>
      <c r="AA608" s="513"/>
      <c r="AB608" s="513"/>
      <c r="AC608" s="513"/>
      <c r="AD608" s="530"/>
      <c r="AE608" s="530"/>
      <c r="AF608" s="530"/>
      <c r="AG608" s="530"/>
      <c r="AH608" s="530"/>
      <c r="AI608" s="530"/>
      <c r="AJ608" s="530"/>
      <c r="AK608" s="530"/>
      <c r="AL608" s="530"/>
      <c r="AM608" s="530"/>
    </row>
    <row r="609" spans="2:39" x14ac:dyDescent="0.25">
      <c r="B609" s="70"/>
      <c r="C609" s="339"/>
      <c r="D609" s="530"/>
      <c r="E609" s="787"/>
      <c r="F609" s="513"/>
      <c r="G609" s="513"/>
      <c r="H609" s="834"/>
      <c r="I609" s="530"/>
      <c r="J609" s="787"/>
      <c r="K609" s="513"/>
      <c r="L609" s="513"/>
      <c r="M609" s="530"/>
      <c r="N609" s="787"/>
      <c r="O609" s="513"/>
      <c r="P609" s="530"/>
      <c r="Q609" s="787"/>
      <c r="R609" s="530"/>
      <c r="S609" s="787"/>
      <c r="T609" s="530"/>
      <c r="U609" s="513"/>
      <c r="X609" s="513"/>
      <c r="Y609" s="513"/>
      <c r="Z609" s="513"/>
      <c r="AA609" s="513"/>
      <c r="AB609" s="513"/>
      <c r="AC609" s="513"/>
      <c r="AD609" s="530"/>
      <c r="AE609" s="530"/>
      <c r="AF609" s="530"/>
      <c r="AG609" s="530"/>
      <c r="AH609" s="530"/>
      <c r="AI609" s="530"/>
      <c r="AJ609" s="530"/>
      <c r="AK609" s="530"/>
      <c r="AL609" s="530"/>
      <c r="AM609" s="530"/>
    </row>
    <row r="610" spans="2:39" x14ac:dyDescent="0.25">
      <c r="B610" s="70"/>
      <c r="C610" s="339"/>
      <c r="D610" s="530"/>
      <c r="E610" s="787"/>
      <c r="F610" s="513"/>
      <c r="G610" s="513"/>
      <c r="H610" s="834"/>
      <c r="I610" s="530"/>
      <c r="J610" s="787"/>
      <c r="K610" s="513"/>
      <c r="L610" s="513"/>
      <c r="M610" s="530"/>
      <c r="N610" s="787"/>
      <c r="O610" s="513"/>
      <c r="P610" s="530"/>
      <c r="Q610" s="787"/>
      <c r="R610" s="530"/>
      <c r="S610" s="787"/>
      <c r="T610" s="530"/>
      <c r="U610" s="513"/>
      <c r="X610" s="513"/>
      <c r="Y610" s="513"/>
      <c r="Z610" s="513"/>
      <c r="AA610" s="513"/>
      <c r="AB610" s="513"/>
      <c r="AC610" s="513"/>
      <c r="AD610" s="530"/>
      <c r="AE610" s="530"/>
      <c r="AF610" s="530"/>
      <c r="AG610" s="530"/>
      <c r="AH610" s="530"/>
      <c r="AI610" s="530"/>
      <c r="AJ610" s="530"/>
      <c r="AK610" s="530"/>
      <c r="AL610" s="530"/>
      <c r="AM610" s="530"/>
    </row>
    <row r="611" spans="2:39" x14ac:dyDescent="0.25">
      <c r="B611" s="70"/>
      <c r="C611" s="339"/>
      <c r="D611" s="530"/>
      <c r="E611" s="787"/>
      <c r="F611" s="513"/>
      <c r="G611" s="513"/>
      <c r="H611" s="834"/>
      <c r="I611" s="530"/>
      <c r="J611" s="787"/>
      <c r="K611" s="513"/>
      <c r="L611" s="513"/>
      <c r="M611" s="530"/>
      <c r="N611" s="787"/>
      <c r="O611" s="513"/>
      <c r="P611" s="530"/>
      <c r="Q611" s="787"/>
      <c r="R611" s="530"/>
      <c r="S611" s="787"/>
      <c r="T611" s="530"/>
      <c r="U611" s="513"/>
      <c r="X611" s="513"/>
      <c r="Y611" s="513"/>
      <c r="Z611" s="513"/>
      <c r="AA611" s="513"/>
      <c r="AB611" s="513"/>
      <c r="AC611" s="513"/>
      <c r="AD611" s="530"/>
      <c r="AE611" s="530"/>
      <c r="AF611" s="530"/>
      <c r="AG611" s="530"/>
      <c r="AH611" s="530"/>
      <c r="AI611" s="530"/>
      <c r="AJ611" s="530"/>
      <c r="AK611" s="530"/>
      <c r="AL611" s="530"/>
      <c r="AM611" s="530"/>
    </row>
    <row r="612" spans="2:39" x14ac:dyDescent="0.25">
      <c r="B612" s="70"/>
      <c r="C612" s="339"/>
      <c r="D612" s="530"/>
      <c r="E612" s="787"/>
      <c r="F612" s="513"/>
      <c r="G612" s="513"/>
      <c r="H612" s="834"/>
      <c r="I612" s="530"/>
      <c r="J612" s="787"/>
      <c r="K612" s="513"/>
      <c r="L612" s="513"/>
      <c r="M612" s="530"/>
      <c r="N612" s="787"/>
      <c r="O612" s="513"/>
      <c r="P612" s="530"/>
      <c r="Q612" s="787"/>
      <c r="R612" s="530"/>
      <c r="S612" s="787"/>
      <c r="T612" s="530"/>
      <c r="U612" s="513"/>
      <c r="X612" s="513"/>
      <c r="Y612" s="513"/>
      <c r="Z612" s="513"/>
      <c r="AA612" s="513"/>
      <c r="AB612" s="513"/>
      <c r="AC612" s="513"/>
      <c r="AD612" s="530"/>
      <c r="AE612" s="530"/>
      <c r="AF612" s="530"/>
      <c r="AG612" s="530"/>
      <c r="AH612" s="530"/>
      <c r="AI612" s="530"/>
      <c r="AJ612" s="530"/>
      <c r="AK612" s="530"/>
      <c r="AL612" s="530"/>
      <c r="AM612" s="530"/>
    </row>
    <row r="613" spans="2:39" x14ac:dyDescent="0.25">
      <c r="B613" s="70"/>
      <c r="C613" s="339"/>
      <c r="D613" s="530"/>
      <c r="E613" s="787"/>
      <c r="F613" s="513"/>
      <c r="G613" s="513"/>
      <c r="H613" s="834"/>
      <c r="I613" s="530"/>
      <c r="J613" s="787"/>
      <c r="K613" s="513"/>
      <c r="L613" s="513"/>
      <c r="M613" s="530"/>
      <c r="N613" s="787"/>
      <c r="O613" s="513"/>
      <c r="P613" s="530"/>
      <c r="Q613" s="787"/>
      <c r="R613" s="530"/>
      <c r="S613" s="787"/>
      <c r="T613" s="530"/>
      <c r="U613" s="513"/>
      <c r="X613" s="513"/>
      <c r="Y613" s="513"/>
      <c r="Z613" s="513"/>
      <c r="AA613" s="513"/>
      <c r="AB613" s="513"/>
      <c r="AC613" s="513"/>
      <c r="AD613" s="530"/>
      <c r="AE613" s="530"/>
      <c r="AF613" s="530"/>
      <c r="AG613" s="530"/>
      <c r="AH613" s="530"/>
      <c r="AI613" s="530"/>
      <c r="AJ613" s="530"/>
      <c r="AK613" s="530"/>
      <c r="AL613" s="530"/>
      <c r="AM613" s="530"/>
    </row>
    <row r="614" spans="2:39" x14ac:dyDescent="0.25">
      <c r="B614" s="70"/>
      <c r="C614" s="339"/>
      <c r="D614" s="530"/>
      <c r="E614" s="787"/>
      <c r="F614" s="513"/>
      <c r="G614" s="513"/>
      <c r="H614" s="834"/>
      <c r="I614" s="530"/>
      <c r="J614" s="787"/>
      <c r="K614" s="513"/>
      <c r="L614" s="513"/>
      <c r="M614" s="530"/>
      <c r="N614" s="787"/>
      <c r="O614" s="513"/>
      <c r="P614" s="530"/>
      <c r="Q614" s="787"/>
      <c r="R614" s="530"/>
      <c r="S614" s="787"/>
      <c r="T614" s="530"/>
      <c r="U614" s="513"/>
      <c r="X614" s="513"/>
      <c r="Y614" s="513"/>
      <c r="Z614" s="513"/>
      <c r="AA614" s="513"/>
      <c r="AB614" s="513"/>
      <c r="AC614" s="513"/>
      <c r="AD614" s="530"/>
      <c r="AE614" s="530"/>
      <c r="AF614" s="530"/>
      <c r="AG614" s="530"/>
      <c r="AH614" s="530"/>
      <c r="AI614" s="530"/>
      <c r="AJ614" s="530"/>
      <c r="AK614" s="530"/>
      <c r="AL614" s="530"/>
      <c r="AM614" s="530"/>
    </row>
    <row r="615" spans="2:39" x14ac:dyDescent="0.25">
      <c r="B615" s="70"/>
      <c r="C615" s="339"/>
      <c r="D615" s="530"/>
      <c r="E615" s="787"/>
      <c r="F615" s="513"/>
      <c r="G615" s="513"/>
      <c r="H615" s="834"/>
      <c r="I615" s="530"/>
      <c r="J615" s="787"/>
      <c r="K615" s="513"/>
      <c r="L615" s="513"/>
      <c r="M615" s="530"/>
      <c r="N615" s="787"/>
      <c r="O615" s="513"/>
      <c r="P615" s="530"/>
      <c r="Q615" s="787"/>
      <c r="R615" s="530"/>
      <c r="S615" s="787"/>
      <c r="T615" s="530"/>
      <c r="U615" s="513"/>
      <c r="X615" s="513"/>
      <c r="Y615" s="513"/>
      <c r="Z615" s="513"/>
      <c r="AA615" s="513"/>
      <c r="AB615" s="513"/>
      <c r="AC615" s="513"/>
      <c r="AD615" s="530"/>
      <c r="AE615" s="530"/>
      <c r="AF615" s="530"/>
      <c r="AG615" s="530"/>
      <c r="AH615" s="530"/>
      <c r="AI615" s="530"/>
      <c r="AJ615" s="530"/>
      <c r="AK615" s="530"/>
      <c r="AL615" s="530"/>
      <c r="AM615" s="530"/>
    </row>
    <row r="616" spans="2:39" x14ac:dyDescent="0.25">
      <c r="B616" s="70"/>
      <c r="C616" s="339"/>
      <c r="D616" s="530"/>
      <c r="E616" s="787"/>
      <c r="F616" s="513"/>
      <c r="G616" s="513"/>
      <c r="H616" s="834"/>
      <c r="I616" s="530"/>
      <c r="J616" s="787"/>
      <c r="K616" s="513"/>
      <c r="L616" s="513"/>
      <c r="M616" s="530"/>
      <c r="N616" s="787"/>
      <c r="O616" s="513"/>
      <c r="P616" s="530"/>
      <c r="Q616" s="787"/>
      <c r="R616" s="530"/>
      <c r="S616" s="787"/>
      <c r="T616" s="530"/>
      <c r="U616" s="513"/>
      <c r="X616" s="513"/>
      <c r="Y616" s="513"/>
      <c r="Z616" s="513"/>
      <c r="AA616" s="513"/>
      <c r="AB616" s="513"/>
      <c r="AC616" s="513"/>
      <c r="AD616" s="530"/>
      <c r="AE616" s="530"/>
      <c r="AF616" s="530"/>
      <c r="AG616" s="530"/>
      <c r="AH616" s="530"/>
      <c r="AI616" s="530"/>
      <c r="AJ616" s="530"/>
      <c r="AK616" s="530"/>
      <c r="AL616" s="530"/>
      <c r="AM616" s="530"/>
    </row>
    <row r="617" spans="2:39" x14ac:dyDescent="0.25">
      <c r="B617" s="70"/>
      <c r="C617" s="339"/>
      <c r="D617" s="530"/>
      <c r="E617" s="787"/>
      <c r="F617" s="513"/>
      <c r="G617" s="513"/>
      <c r="H617" s="834"/>
      <c r="I617" s="530"/>
      <c r="J617" s="787"/>
      <c r="K617" s="513"/>
      <c r="L617" s="513"/>
      <c r="M617" s="530"/>
      <c r="N617" s="787"/>
      <c r="O617" s="513"/>
      <c r="P617" s="530"/>
      <c r="Q617" s="787"/>
      <c r="R617" s="530"/>
      <c r="S617" s="787"/>
      <c r="T617" s="530"/>
      <c r="U617" s="513"/>
      <c r="X617" s="513"/>
      <c r="Y617" s="513"/>
      <c r="Z617" s="513"/>
      <c r="AA617" s="513"/>
      <c r="AB617" s="513"/>
      <c r="AC617" s="513"/>
      <c r="AD617" s="530"/>
      <c r="AE617" s="530"/>
      <c r="AF617" s="530"/>
      <c r="AG617" s="530"/>
      <c r="AH617" s="530"/>
      <c r="AI617" s="530"/>
      <c r="AJ617" s="530"/>
      <c r="AK617" s="530"/>
      <c r="AL617" s="530"/>
      <c r="AM617" s="530"/>
    </row>
    <row r="618" spans="2:39" x14ac:dyDescent="0.25">
      <c r="B618" s="70"/>
      <c r="C618" s="339"/>
      <c r="D618" s="530"/>
      <c r="E618" s="787"/>
      <c r="F618" s="513"/>
      <c r="G618" s="513"/>
      <c r="H618" s="834"/>
      <c r="I618" s="530"/>
      <c r="J618" s="787"/>
      <c r="K618" s="513"/>
      <c r="L618" s="513"/>
      <c r="M618" s="530"/>
      <c r="N618" s="787"/>
      <c r="O618" s="513"/>
      <c r="P618" s="530"/>
      <c r="Q618" s="787"/>
      <c r="R618" s="530"/>
      <c r="S618" s="787"/>
      <c r="T618" s="530"/>
      <c r="U618" s="513"/>
      <c r="X618" s="513"/>
      <c r="Y618" s="513"/>
      <c r="Z618" s="513"/>
      <c r="AA618" s="513"/>
      <c r="AB618" s="513"/>
      <c r="AC618" s="513"/>
      <c r="AD618" s="530"/>
      <c r="AE618" s="530"/>
      <c r="AF618" s="530"/>
      <c r="AG618" s="530"/>
      <c r="AH618" s="530"/>
      <c r="AI618" s="530"/>
      <c r="AJ618" s="530"/>
      <c r="AK618" s="530"/>
      <c r="AL618" s="530"/>
      <c r="AM618" s="530"/>
    </row>
    <row r="619" spans="2:39" x14ac:dyDescent="0.25">
      <c r="B619" s="70"/>
      <c r="C619" s="339"/>
      <c r="D619" s="530"/>
      <c r="E619" s="787"/>
      <c r="F619" s="513"/>
      <c r="G619" s="513"/>
      <c r="H619" s="834"/>
      <c r="I619" s="530"/>
      <c r="J619" s="787"/>
      <c r="K619" s="513"/>
      <c r="L619" s="513"/>
      <c r="M619" s="530"/>
      <c r="N619" s="787"/>
      <c r="O619" s="513"/>
      <c r="P619" s="530"/>
      <c r="Q619" s="787"/>
      <c r="R619" s="530"/>
      <c r="S619" s="787"/>
      <c r="T619" s="530"/>
      <c r="U619" s="513"/>
      <c r="X619" s="513"/>
      <c r="Y619" s="513"/>
      <c r="Z619" s="513"/>
      <c r="AA619" s="513"/>
      <c r="AB619" s="513"/>
      <c r="AC619" s="513"/>
      <c r="AD619" s="530"/>
      <c r="AE619" s="530"/>
      <c r="AF619" s="530"/>
      <c r="AG619" s="530"/>
      <c r="AH619" s="530"/>
      <c r="AI619" s="530"/>
      <c r="AJ619" s="530"/>
      <c r="AK619" s="530"/>
      <c r="AL619" s="530"/>
      <c r="AM619" s="530"/>
    </row>
    <row r="620" spans="2:39" x14ac:dyDescent="0.25">
      <c r="B620" s="70"/>
      <c r="C620" s="339"/>
      <c r="D620" s="530"/>
      <c r="E620" s="787"/>
      <c r="F620" s="513"/>
      <c r="G620" s="513"/>
      <c r="H620" s="834"/>
      <c r="I620" s="530"/>
      <c r="J620" s="787"/>
      <c r="K620" s="513"/>
      <c r="L620" s="513"/>
      <c r="M620" s="530"/>
      <c r="N620" s="787"/>
      <c r="O620" s="513"/>
      <c r="P620" s="530"/>
      <c r="Q620" s="787"/>
      <c r="R620" s="530"/>
      <c r="S620" s="787"/>
      <c r="T620" s="530"/>
      <c r="U620" s="513"/>
      <c r="X620" s="513"/>
      <c r="Y620" s="513"/>
      <c r="Z620" s="513"/>
      <c r="AA620" s="513"/>
      <c r="AB620" s="513"/>
      <c r="AC620" s="513"/>
      <c r="AD620" s="530"/>
      <c r="AE620" s="530"/>
      <c r="AF620" s="530"/>
      <c r="AG620" s="530"/>
      <c r="AH620" s="530"/>
      <c r="AI620" s="530"/>
      <c r="AJ620" s="530"/>
      <c r="AK620" s="530"/>
      <c r="AL620" s="530"/>
      <c r="AM620" s="530"/>
    </row>
    <row r="621" spans="2:39" x14ac:dyDescent="0.25">
      <c r="B621" s="70"/>
      <c r="C621" s="339"/>
      <c r="D621" s="530"/>
      <c r="E621" s="787"/>
      <c r="F621" s="513"/>
      <c r="G621" s="513"/>
      <c r="H621" s="834"/>
      <c r="I621" s="530"/>
      <c r="J621" s="787"/>
      <c r="K621" s="513"/>
      <c r="L621" s="513"/>
      <c r="M621" s="530"/>
      <c r="N621" s="787"/>
      <c r="O621" s="513"/>
      <c r="P621" s="530"/>
      <c r="Q621" s="787"/>
      <c r="R621" s="530"/>
      <c r="S621" s="787"/>
      <c r="T621" s="530"/>
      <c r="U621" s="513"/>
      <c r="X621" s="513"/>
      <c r="Y621" s="513"/>
      <c r="Z621" s="513"/>
      <c r="AA621" s="513"/>
      <c r="AB621" s="513"/>
      <c r="AC621" s="513"/>
      <c r="AD621" s="530"/>
      <c r="AE621" s="530"/>
      <c r="AF621" s="530"/>
      <c r="AG621" s="530"/>
      <c r="AH621" s="530"/>
      <c r="AI621" s="530"/>
      <c r="AJ621" s="530"/>
      <c r="AK621" s="530"/>
      <c r="AL621" s="530"/>
      <c r="AM621" s="530"/>
    </row>
    <row r="622" spans="2:39" x14ac:dyDescent="0.25">
      <c r="B622" s="70"/>
      <c r="C622" s="339"/>
      <c r="D622" s="530"/>
      <c r="E622" s="787"/>
      <c r="F622" s="513"/>
      <c r="G622" s="513"/>
      <c r="H622" s="834"/>
      <c r="I622" s="530"/>
      <c r="J622" s="787"/>
      <c r="K622" s="513"/>
      <c r="L622" s="513"/>
      <c r="M622" s="530"/>
      <c r="N622" s="787"/>
      <c r="O622" s="513"/>
      <c r="P622" s="530"/>
      <c r="Q622" s="787"/>
      <c r="R622" s="530"/>
      <c r="S622" s="787"/>
      <c r="T622" s="530"/>
      <c r="U622" s="513"/>
      <c r="X622" s="513"/>
      <c r="Y622" s="513"/>
      <c r="Z622" s="513"/>
      <c r="AA622" s="513"/>
      <c r="AB622" s="513"/>
      <c r="AC622" s="513"/>
      <c r="AD622" s="530"/>
      <c r="AE622" s="530"/>
      <c r="AF622" s="530"/>
      <c r="AG622" s="530"/>
      <c r="AH622" s="530"/>
      <c r="AI622" s="530"/>
      <c r="AJ622" s="530"/>
      <c r="AK622" s="530"/>
      <c r="AL622" s="530"/>
      <c r="AM622" s="530"/>
    </row>
    <row r="623" spans="2:39" x14ac:dyDescent="0.25">
      <c r="B623" s="70"/>
      <c r="C623" s="339"/>
      <c r="D623" s="530"/>
      <c r="E623" s="787"/>
      <c r="F623" s="513"/>
      <c r="G623" s="513"/>
      <c r="H623" s="834"/>
      <c r="I623" s="530"/>
      <c r="J623" s="787"/>
      <c r="K623" s="513"/>
      <c r="L623" s="513"/>
      <c r="M623" s="530"/>
      <c r="N623" s="787"/>
      <c r="O623" s="513"/>
      <c r="P623" s="530"/>
      <c r="Q623" s="787"/>
      <c r="R623" s="530"/>
      <c r="S623" s="787"/>
      <c r="T623" s="530"/>
      <c r="U623" s="513"/>
      <c r="X623" s="513"/>
      <c r="Y623" s="513"/>
      <c r="Z623" s="513"/>
      <c r="AA623" s="513"/>
      <c r="AB623" s="513"/>
      <c r="AC623" s="513"/>
      <c r="AD623" s="530"/>
      <c r="AE623" s="530"/>
      <c r="AF623" s="530"/>
      <c r="AG623" s="530"/>
      <c r="AH623" s="530"/>
      <c r="AI623" s="530"/>
      <c r="AJ623" s="530"/>
      <c r="AK623" s="530"/>
      <c r="AL623" s="530"/>
      <c r="AM623" s="530"/>
    </row>
    <row r="624" spans="2:39" x14ac:dyDescent="0.25">
      <c r="B624" s="70"/>
      <c r="C624" s="339"/>
      <c r="D624" s="530"/>
      <c r="E624" s="787"/>
      <c r="F624" s="513"/>
      <c r="G624" s="513"/>
      <c r="H624" s="834"/>
      <c r="I624" s="530"/>
      <c r="J624" s="787"/>
      <c r="K624" s="513"/>
      <c r="L624" s="513"/>
      <c r="M624" s="530"/>
      <c r="N624" s="787"/>
      <c r="O624" s="513"/>
      <c r="P624" s="530"/>
      <c r="Q624" s="787"/>
      <c r="R624" s="530"/>
      <c r="S624" s="787"/>
      <c r="T624" s="530"/>
      <c r="U624" s="513"/>
      <c r="X624" s="513"/>
      <c r="Y624" s="513"/>
      <c r="Z624" s="513"/>
      <c r="AA624" s="513"/>
      <c r="AB624" s="513"/>
      <c r="AC624" s="513"/>
      <c r="AD624" s="530"/>
      <c r="AE624" s="530"/>
      <c r="AF624" s="530"/>
      <c r="AG624" s="530"/>
      <c r="AH624" s="530"/>
      <c r="AI624" s="530"/>
      <c r="AJ624" s="530"/>
      <c r="AK624" s="530"/>
      <c r="AL624" s="530"/>
      <c r="AM624" s="530"/>
    </row>
    <row r="625" spans="2:39" x14ac:dyDescent="0.25">
      <c r="B625" s="70"/>
      <c r="C625" s="339"/>
      <c r="D625" s="530"/>
      <c r="E625" s="787"/>
      <c r="F625" s="513"/>
      <c r="G625" s="513"/>
      <c r="H625" s="834"/>
      <c r="I625" s="530"/>
      <c r="J625" s="787"/>
      <c r="K625" s="513"/>
      <c r="L625" s="513"/>
      <c r="M625" s="530"/>
      <c r="N625" s="787"/>
      <c r="O625" s="513"/>
      <c r="P625" s="530"/>
      <c r="Q625" s="787"/>
      <c r="R625" s="530"/>
      <c r="S625" s="787"/>
      <c r="T625" s="530"/>
      <c r="U625" s="513"/>
      <c r="X625" s="513"/>
      <c r="Y625" s="513"/>
      <c r="Z625" s="513"/>
      <c r="AA625" s="513"/>
      <c r="AB625" s="513"/>
      <c r="AC625" s="513"/>
      <c r="AD625" s="530"/>
      <c r="AE625" s="530"/>
      <c r="AF625" s="530"/>
      <c r="AG625" s="530"/>
      <c r="AH625" s="530"/>
      <c r="AI625" s="530"/>
      <c r="AJ625" s="530"/>
      <c r="AK625" s="530"/>
      <c r="AL625" s="530"/>
      <c r="AM625" s="530"/>
    </row>
    <row r="626" spans="2:39" x14ac:dyDescent="0.25">
      <c r="B626" s="70"/>
      <c r="C626" s="339"/>
      <c r="D626" s="530"/>
      <c r="E626" s="787"/>
      <c r="F626" s="513"/>
      <c r="G626" s="513"/>
      <c r="H626" s="834"/>
      <c r="I626" s="530"/>
      <c r="J626" s="787"/>
      <c r="K626" s="513"/>
      <c r="L626" s="513"/>
      <c r="M626" s="530"/>
      <c r="N626" s="787"/>
      <c r="O626" s="513"/>
      <c r="P626" s="530"/>
      <c r="Q626" s="787"/>
      <c r="R626" s="530"/>
      <c r="S626" s="787"/>
      <c r="T626" s="530"/>
      <c r="U626" s="513"/>
      <c r="X626" s="513"/>
      <c r="Y626" s="513"/>
      <c r="Z626" s="513"/>
      <c r="AA626" s="513"/>
      <c r="AB626" s="513"/>
      <c r="AC626" s="513"/>
      <c r="AD626" s="530"/>
      <c r="AE626" s="530"/>
      <c r="AF626" s="530"/>
      <c r="AG626" s="530"/>
      <c r="AH626" s="530"/>
      <c r="AI626" s="530"/>
      <c r="AJ626" s="530"/>
      <c r="AK626" s="530"/>
      <c r="AL626" s="530"/>
      <c r="AM626" s="530"/>
    </row>
    <row r="627" spans="2:39" x14ac:dyDescent="0.25">
      <c r="B627" s="70"/>
      <c r="C627" s="339"/>
      <c r="D627" s="530"/>
      <c r="E627" s="787"/>
      <c r="F627" s="513"/>
      <c r="G627" s="513"/>
      <c r="H627" s="834"/>
      <c r="I627" s="530"/>
      <c r="J627" s="787"/>
      <c r="K627" s="513"/>
      <c r="L627" s="513"/>
      <c r="M627" s="530"/>
      <c r="N627" s="787"/>
      <c r="O627" s="513"/>
      <c r="P627" s="530"/>
      <c r="Q627" s="787"/>
      <c r="R627" s="530"/>
      <c r="S627" s="787"/>
      <c r="T627" s="530"/>
      <c r="U627" s="513"/>
      <c r="X627" s="513"/>
      <c r="Y627" s="513"/>
      <c r="Z627" s="513"/>
      <c r="AA627" s="513"/>
      <c r="AB627" s="513"/>
      <c r="AC627" s="513"/>
      <c r="AD627" s="530"/>
      <c r="AE627" s="530"/>
      <c r="AF627" s="530"/>
      <c r="AG627" s="530"/>
      <c r="AH627" s="530"/>
      <c r="AI627" s="530"/>
      <c r="AJ627" s="530"/>
      <c r="AK627" s="530"/>
      <c r="AL627" s="530"/>
      <c r="AM627" s="530"/>
    </row>
    <row r="628" spans="2:39" x14ac:dyDescent="0.25">
      <c r="B628" s="70"/>
      <c r="C628" s="339"/>
      <c r="D628" s="530"/>
      <c r="E628" s="787"/>
      <c r="F628" s="513"/>
      <c r="G628" s="513"/>
      <c r="H628" s="834"/>
      <c r="I628" s="530"/>
      <c r="J628" s="787"/>
      <c r="K628" s="513"/>
      <c r="L628" s="513"/>
      <c r="M628" s="530"/>
      <c r="N628" s="787"/>
      <c r="O628" s="513"/>
      <c r="P628" s="530"/>
      <c r="Q628" s="787"/>
      <c r="R628" s="530"/>
      <c r="S628" s="787"/>
      <c r="T628" s="530"/>
      <c r="U628" s="513"/>
      <c r="X628" s="513"/>
      <c r="Y628" s="513"/>
      <c r="Z628" s="513"/>
      <c r="AA628" s="513"/>
      <c r="AB628" s="513"/>
      <c r="AC628" s="513"/>
      <c r="AD628" s="530"/>
      <c r="AE628" s="530"/>
      <c r="AF628" s="530"/>
      <c r="AG628" s="530"/>
      <c r="AH628" s="530"/>
      <c r="AI628" s="530"/>
      <c r="AJ628" s="530"/>
      <c r="AK628" s="530"/>
      <c r="AL628" s="530"/>
      <c r="AM628" s="530"/>
    </row>
    <row r="629" spans="2:39" x14ac:dyDescent="0.25">
      <c r="B629" s="70"/>
      <c r="C629" s="339"/>
      <c r="D629" s="530"/>
      <c r="E629" s="787"/>
      <c r="F629" s="513"/>
      <c r="G629" s="513"/>
      <c r="H629" s="834"/>
      <c r="I629" s="530"/>
      <c r="J629" s="787"/>
      <c r="K629" s="513"/>
      <c r="L629" s="513"/>
      <c r="M629" s="530"/>
      <c r="N629" s="787"/>
      <c r="O629" s="513"/>
      <c r="P629" s="530"/>
      <c r="Q629" s="787"/>
      <c r="R629" s="530"/>
      <c r="S629" s="787"/>
      <c r="T629" s="530"/>
      <c r="U629" s="513"/>
      <c r="X629" s="513"/>
      <c r="Y629" s="513"/>
      <c r="Z629" s="513"/>
      <c r="AA629" s="513"/>
      <c r="AB629" s="513"/>
      <c r="AC629" s="513"/>
      <c r="AD629" s="530"/>
      <c r="AE629" s="530"/>
      <c r="AF629" s="530"/>
      <c r="AG629" s="530"/>
      <c r="AH629" s="530"/>
      <c r="AI629" s="530"/>
      <c r="AJ629" s="530"/>
      <c r="AK629" s="530"/>
      <c r="AL629" s="530"/>
      <c r="AM629" s="530"/>
    </row>
    <row r="630" spans="2:39" x14ac:dyDescent="0.25">
      <c r="B630" s="70"/>
      <c r="C630" s="339"/>
      <c r="D630" s="530"/>
      <c r="E630" s="787"/>
      <c r="F630" s="513"/>
      <c r="G630" s="513"/>
      <c r="H630" s="834"/>
      <c r="I630" s="530"/>
      <c r="J630" s="787"/>
      <c r="K630" s="513"/>
      <c r="L630" s="513"/>
      <c r="M630" s="530"/>
      <c r="N630" s="787"/>
      <c r="O630" s="513"/>
      <c r="P630" s="530"/>
      <c r="Q630" s="787"/>
      <c r="R630" s="530"/>
      <c r="S630" s="787"/>
      <c r="T630" s="530"/>
      <c r="U630" s="513"/>
      <c r="X630" s="513"/>
      <c r="Y630" s="513"/>
      <c r="Z630" s="513"/>
      <c r="AA630" s="513"/>
      <c r="AB630" s="513"/>
      <c r="AC630" s="513"/>
      <c r="AD630" s="530"/>
      <c r="AE630" s="530"/>
      <c r="AF630" s="530"/>
      <c r="AG630" s="530"/>
      <c r="AH630" s="530"/>
      <c r="AI630" s="530"/>
      <c r="AJ630" s="530"/>
      <c r="AK630" s="530"/>
      <c r="AL630" s="530"/>
      <c r="AM630" s="530"/>
    </row>
    <row r="631" spans="2:39" x14ac:dyDescent="0.25">
      <c r="B631" s="70"/>
      <c r="C631" s="339"/>
      <c r="D631" s="530"/>
      <c r="E631" s="787"/>
      <c r="F631" s="513"/>
      <c r="G631" s="513"/>
      <c r="H631" s="834"/>
      <c r="I631" s="530"/>
      <c r="J631" s="787"/>
      <c r="K631" s="513"/>
      <c r="L631" s="513"/>
      <c r="M631" s="530"/>
      <c r="N631" s="787"/>
      <c r="O631" s="513"/>
      <c r="P631" s="530"/>
      <c r="Q631" s="787"/>
      <c r="R631" s="530"/>
      <c r="S631" s="787"/>
      <c r="T631" s="530"/>
      <c r="U631" s="513"/>
      <c r="X631" s="513"/>
      <c r="Y631" s="513"/>
      <c r="Z631" s="513"/>
      <c r="AA631" s="513"/>
      <c r="AB631" s="513"/>
      <c r="AC631" s="513"/>
      <c r="AD631" s="530"/>
      <c r="AE631" s="530"/>
      <c r="AF631" s="530"/>
      <c r="AG631" s="530"/>
      <c r="AH631" s="530"/>
      <c r="AI631" s="530"/>
      <c r="AJ631" s="530"/>
      <c r="AK631" s="530"/>
      <c r="AL631" s="530"/>
      <c r="AM631" s="530"/>
    </row>
    <row r="632" spans="2:39" x14ac:dyDescent="0.25">
      <c r="B632" s="70"/>
      <c r="C632" s="339"/>
      <c r="D632" s="530"/>
      <c r="E632" s="787"/>
      <c r="F632" s="513"/>
      <c r="G632" s="513"/>
      <c r="H632" s="834"/>
      <c r="I632" s="530"/>
      <c r="J632" s="787"/>
      <c r="K632" s="513"/>
      <c r="L632" s="513"/>
      <c r="M632" s="530"/>
      <c r="N632" s="787"/>
      <c r="O632" s="513"/>
      <c r="P632" s="530"/>
      <c r="Q632" s="787"/>
      <c r="R632" s="530"/>
      <c r="S632" s="787"/>
      <c r="T632" s="530"/>
      <c r="U632" s="513"/>
      <c r="X632" s="513"/>
      <c r="Y632" s="513"/>
      <c r="Z632" s="513"/>
      <c r="AA632" s="513"/>
      <c r="AB632" s="513"/>
      <c r="AC632" s="513"/>
      <c r="AD632" s="530"/>
      <c r="AE632" s="530"/>
      <c r="AF632" s="530"/>
      <c r="AG632" s="530"/>
      <c r="AH632" s="530"/>
      <c r="AI632" s="530"/>
      <c r="AJ632" s="530"/>
      <c r="AK632" s="530"/>
      <c r="AL632" s="530"/>
      <c r="AM632" s="530"/>
    </row>
    <row r="633" spans="2:39" x14ac:dyDescent="0.25">
      <c r="B633" s="70"/>
      <c r="C633" s="339"/>
      <c r="D633" s="530"/>
      <c r="E633" s="787"/>
      <c r="F633" s="513"/>
      <c r="G633" s="513"/>
      <c r="H633" s="834"/>
      <c r="I633" s="530"/>
      <c r="J633" s="787"/>
      <c r="K633" s="513"/>
      <c r="L633" s="513"/>
      <c r="M633" s="530"/>
      <c r="N633" s="787"/>
      <c r="O633" s="513"/>
      <c r="P633" s="530"/>
      <c r="Q633" s="787"/>
      <c r="R633" s="530"/>
      <c r="S633" s="787"/>
      <c r="T633" s="530"/>
      <c r="U633" s="513"/>
      <c r="X633" s="513"/>
      <c r="Y633" s="513"/>
      <c r="Z633" s="513"/>
      <c r="AA633" s="513"/>
      <c r="AB633" s="513"/>
      <c r="AC633" s="513"/>
      <c r="AD633" s="530"/>
      <c r="AE633" s="530"/>
      <c r="AF633" s="530"/>
      <c r="AG633" s="530"/>
      <c r="AH633" s="530"/>
      <c r="AI633" s="530"/>
      <c r="AJ633" s="530"/>
      <c r="AK633" s="530"/>
      <c r="AL633" s="530"/>
      <c r="AM633" s="530"/>
    </row>
    <row r="634" spans="2:39" x14ac:dyDescent="0.25">
      <c r="B634" s="70"/>
      <c r="C634" s="339"/>
      <c r="D634" s="530"/>
      <c r="E634" s="787"/>
      <c r="F634" s="513"/>
      <c r="G634" s="513"/>
      <c r="H634" s="834"/>
      <c r="I634" s="530"/>
      <c r="J634" s="787"/>
      <c r="K634" s="513"/>
      <c r="L634" s="513"/>
      <c r="M634" s="530"/>
      <c r="N634" s="787"/>
      <c r="O634" s="513"/>
      <c r="P634" s="530"/>
      <c r="Q634" s="787"/>
      <c r="R634" s="530"/>
      <c r="S634" s="787"/>
      <c r="T634" s="530"/>
      <c r="U634" s="513"/>
      <c r="X634" s="513"/>
      <c r="Y634" s="513"/>
      <c r="Z634" s="513"/>
      <c r="AA634" s="513"/>
      <c r="AB634" s="513"/>
      <c r="AC634" s="513"/>
      <c r="AD634" s="530"/>
      <c r="AE634" s="530"/>
      <c r="AF634" s="530"/>
      <c r="AG634" s="530"/>
      <c r="AH634" s="530"/>
      <c r="AI634" s="530"/>
      <c r="AJ634" s="530"/>
      <c r="AK634" s="530"/>
      <c r="AL634" s="530"/>
      <c r="AM634" s="530"/>
    </row>
    <row r="635" spans="2:39" x14ac:dyDescent="0.25">
      <c r="B635" s="70"/>
      <c r="C635" s="339"/>
      <c r="D635" s="530"/>
      <c r="E635" s="787"/>
      <c r="F635" s="513"/>
      <c r="G635" s="513"/>
      <c r="H635" s="834"/>
      <c r="I635" s="530"/>
      <c r="J635" s="787"/>
      <c r="K635" s="513"/>
      <c r="L635" s="513"/>
      <c r="M635" s="530"/>
      <c r="N635" s="787"/>
      <c r="O635" s="513"/>
      <c r="P635" s="530"/>
      <c r="Q635" s="787"/>
      <c r="R635" s="530"/>
      <c r="S635" s="787"/>
      <c r="T635" s="530"/>
      <c r="U635" s="513"/>
      <c r="X635" s="513"/>
      <c r="Y635" s="513"/>
      <c r="Z635" s="513"/>
      <c r="AA635" s="513"/>
      <c r="AB635" s="513"/>
      <c r="AC635" s="513"/>
      <c r="AD635" s="530"/>
      <c r="AE635" s="530"/>
      <c r="AF635" s="530"/>
      <c r="AG635" s="530"/>
      <c r="AH635" s="530"/>
      <c r="AI635" s="530"/>
      <c r="AJ635" s="530"/>
      <c r="AK635" s="530"/>
      <c r="AL635" s="530"/>
      <c r="AM635" s="530"/>
    </row>
    <row r="636" spans="2:39" x14ac:dyDescent="0.25">
      <c r="B636" s="70"/>
      <c r="C636" s="339"/>
      <c r="D636" s="530"/>
      <c r="E636" s="787"/>
      <c r="F636" s="513"/>
      <c r="G636" s="513"/>
      <c r="H636" s="834"/>
      <c r="I636" s="530"/>
      <c r="J636" s="787"/>
      <c r="K636" s="513"/>
      <c r="L636" s="513"/>
      <c r="M636" s="530"/>
      <c r="N636" s="787"/>
      <c r="O636" s="513"/>
      <c r="P636" s="530"/>
      <c r="Q636" s="787"/>
      <c r="R636" s="530"/>
      <c r="S636" s="787"/>
      <c r="T636" s="530"/>
      <c r="U636" s="513"/>
      <c r="X636" s="513"/>
      <c r="Y636" s="513"/>
      <c r="Z636" s="513"/>
      <c r="AA636" s="513"/>
      <c r="AB636" s="513"/>
      <c r="AC636" s="513"/>
      <c r="AD636" s="530"/>
      <c r="AE636" s="530"/>
      <c r="AF636" s="530"/>
      <c r="AG636" s="530"/>
      <c r="AH636" s="530"/>
      <c r="AI636" s="530"/>
      <c r="AJ636" s="530"/>
      <c r="AK636" s="530"/>
      <c r="AL636" s="530"/>
      <c r="AM636" s="530"/>
    </row>
    <row r="637" spans="2:39" x14ac:dyDescent="0.25">
      <c r="B637" s="70"/>
      <c r="C637" s="339"/>
      <c r="D637" s="530"/>
      <c r="E637" s="787"/>
      <c r="F637" s="513"/>
      <c r="G637" s="513"/>
      <c r="H637" s="834"/>
      <c r="I637" s="530"/>
      <c r="J637" s="787"/>
      <c r="K637" s="513"/>
      <c r="L637" s="513"/>
      <c r="M637" s="530"/>
      <c r="N637" s="787"/>
      <c r="O637" s="513"/>
      <c r="P637" s="530"/>
      <c r="Q637" s="787"/>
      <c r="R637" s="530"/>
      <c r="S637" s="787"/>
      <c r="T637" s="530"/>
      <c r="U637" s="513"/>
      <c r="X637" s="513"/>
      <c r="Y637" s="513"/>
      <c r="Z637" s="513"/>
      <c r="AA637" s="513"/>
      <c r="AB637" s="513"/>
      <c r="AC637" s="513"/>
      <c r="AD637" s="530"/>
      <c r="AE637" s="530"/>
      <c r="AF637" s="530"/>
      <c r="AG637" s="530"/>
      <c r="AH637" s="530"/>
      <c r="AI637" s="530"/>
      <c r="AJ637" s="530"/>
      <c r="AK637" s="530"/>
      <c r="AL637" s="530"/>
      <c r="AM637" s="530"/>
    </row>
    <row r="638" spans="2:39" x14ac:dyDescent="0.25">
      <c r="B638" s="70"/>
      <c r="C638" s="339"/>
      <c r="D638" s="530"/>
      <c r="E638" s="787"/>
      <c r="F638" s="513"/>
      <c r="G638" s="513"/>
      <c r="H638" s="834"/>
      <c r="I638" s="530"/>
      <c r="J638" s="787"/>
      <c r="K638" s="513"/>
      <c r="L638" s="513"/>
      <c r="M638" s="530"/>
      <c r="N638" s="787"/>
      <c r="O638" s="513"/>
      <c r="P638" s="530"/>
      <c r="Q638" s="787"/>
      <c r="R638" s="530"/>
      <c r="S638" s="787"/>
      <c r="T638" s="530"/>
      <c r="U638" s="513"/>
      <c r="X638" s="513"/>
      <c r="Y638" s="513"/>
      <c r="Z638" s="513"/>
      <c r="AA638" s="513"/>
      <c r="AB638" s="513"/>
      <c r="AC638" s="513"/>
      <c r="AD638" s="530"/>
      <c r="AE638" s="530"/>
      <c r="AF638" s="530"/>
      <c r="AG638" s="530"/>
      <c r="AH638" s="530"/>
      <c r="AI638" s="530"/>
      <c r="AJ638" s="530"/>
      <c r="AK638" s="530"/>
      <c r="AL638" s="530"/>
      <c r="AM638" s="530"/>
    </row>
    <row r="639" spans="2:39" x14ac:dyDescent="0.25">
      <c r="B639" s="70"/>
      <c r="C639" s="339"/>
      <c r="D639" s="530"/>
      <c r="E639" s="787"/>
      <c r="F639" s="513"/>
      <c r="G639" s="513"/>
      <c r="H639" s="834"/>
      <c r="I639" s="530"/>
      <c r="J639" s="787"/>
      <c r="K639" s="513"/>
      <c r="L639" s="513"/>
      <c r="M639" s="530"/>
      <c r="N639" s="787"/>
      <c r="O639" s="513"/>
      <c r="P639" s="530"/>
      <c r="Q639" s="787"/>
      <c r="R639" s="530"/>
      <c r="S639" s="787"/>
      <c r="T639" s="530"/>
      <c r="U639" s="513"/>
      <c r="X639" s="513"/>
      <c r="Y639" s="513"/>
      <c r="Z639" s="513"/>
      <c r="AA639" s="513"/>
      <c r="AB639" s="513"/>
      <c r="AC639" s="513"/>
      <c r="AD639" s="530"/>
      <c r="AE639" s="530"/>
      <c r="AF639" s="530"/>
      <c r="AG639" s="530"/>
      <c r="AH639" s="530"/>
      <c r="AI639" s="530"/>
      <c r="AJ639" s="530"/>
      <c r="AK639" s="530"/>
      <c r="AL639" s="530"/>
      <c r="AM639" s="530"/>
    </row>
    <row r="640" spans="2:39" x14ac:dyDescent="0.25">
      <c r="B640" s="70"/>
      <c r="C640" s="339"/>
      <c r="D640" s="530"/>
      <c r="E640" s="787"/>
      <c r="F640" s="513"/>
      <c r="G640" s="513"/>
      <c r="H640" s="834"/>
      <c r="I640" s="530"/>
      <c r="J640" s="787"/>
      <c r="K640" s="513"/>
      <c r="L640" s="513"/>
      <c r="M640" s="530"/>
      <c r="N640" s="787"/>
      <c r="O640" s="513"/>
      <c r="P640" s="530"/>
      <c r="Q640" s="787"/>
      <c r="R640" s="530"/>
      <c r="S640" s="787"/>
      <c r="T640" s="530"/>
      <c r="U640" s="513"/>
      <c r="X640" s="513"/>
      <c r="Y640" s="513"/>
      <c r="Z640" s="513"/>
      <c r="AA640" s="513"/>
      <c r="AB640" s="513"/>
      <c r="AC640" s="513"/>
      <c r="AD640" s="530"/>
      <c r="AE640" s="530"/>
      <c r="AF640" s="530"/>
      <c r="AG640" s="530"/>
      <c r="AH640" s="530"/>
      <c r="AI640" s="530"/>
      <c r="AJ640" s="530"/>
      <c r="AK640" s="530"/>
      <c r="AL640" s="530"/>
      <c r="AM640" s="530"/>
    </row>
    <row r="641" spans="2:39" x14ac:dyDescent="0.25">
      <c r="B641" s="70"/>
      <c r="C641" s="339"/>
      <c r="D641" s="530"/>
      <c r="E641" s="787"/>
      <c r="F641" s="513"/>
      <c r="G641" s="513"/>
      <c r="H641" s="834"/>
      <c r="I641" s="530"/>
      <c r="J641" s="787"/>
      <c r="K641" s="513"/>
      <c r="L641" s="513"/>
      <c r="M641" s="530"/>
      <c r="N641" s="787"/>
      <c r="O641" s="513"/>
      <c r="P641" s="530"/>
      <c r="Q641" s="787"/>
      <c r="R641" s="530"/>
      <c r="S641" s="787"/>
      <c r="T641" s="530"/>
      <c r="U641" s="513"/>
      <c r="X641" s="513"/>
      <c r="Y641" s="513"/>
      <c r="Z641" s="513"/>
      <c r="AA641" s="513"/>
      <c r="AB641" s="513"/>
      <c r="AC641" s="513"/>
      <c r="AD641" s="530"/>
      <c r="AE641" s="530"/>
      <c r="AF641" s="530"/>
      <c r="AG641" s="530"/>
      <c r="AH641" s="530"/>
      <c r="AI641" s="530"/>
      <c r="AJ641" s="530"/>
      <c r="AK641" s="530"/>
      <c r="AL641" s="530"/>
      <c r="AM641" s="530"/>
    </row>
    <row r="642" spans="2:39" x14ac:dyDescent="0.25">
      <c r="B642" s="70"/>
      <c r="C642" s="339"/>
      <c r="D642" s="530"/>
      <c r="E642" s="787"/>
      <c r="F642" s="513"/>
      <c r="G642" s="513"/>
      <c r="H642" s="834"/>
      <c r="I642" s="530"/>
      <c r="J642" s="787"/>
      <c r="K642" s="513"/>
      <c r="L642" s="513"/>
      <c r="M642" s="530"/>
      <c r="N642" s="787"/>
      <c r="O642" s="513"/>
      <c r="P642" s="530"/>
      <c r="Q642" s="787"/>
      <c r="R642" s="530"/>
      <c r="S642" s="787"/>
      <c r="T642" s="530"/>
      <c r="U642" s="513"/>
      <c r="X642" s="513"/>
      <c r="Y642" s="513"/>
      <c r="Z642" s="513"/>
      <c r="AA642" s="513"/>
      <c r="AB642" s="513"/>
      <c r="AC642" s="513"/>
      <c r="AD642" s="530"/>
      <c r="AE642" s="530"/>
      <c r="AF642" s="530"/>
      <c r="AG642" s="530"/>
      <c r="AH642" s="530"/>
      <c r="AI642" s="530"/>
      <c r="AJ642" s="530"/>
      <c r="AK642" s="530"/>
      <c r="AL642" s="530"/>
      <c r="AM642" s="530"/>
    </row>
    <row r="643" spans="2:39" x14ac:dyDescent="0.25">
      <c r="B643" s="70"/>
      <c r="C643" s="339"/>
      <c r="D643" s="530"/>
      <c r="E643" s="787"/>
      <c r="F643" s="513"/>
      <c r="G643" s="513"/>
      <c r="H643" s="834"/>
      <c r="I643" s="530"/>
      <c r="J643" s="787"/>
      <c r="K643" s="513"/>
      <c r="L643" s="513"/>
      <c r="M643" s="530"/>
      <c r="N643" s="787"/>
      <c r="O643" s="513"/>
      <c r="P643" s="530"/>
      <c r="Q643" s="787"/>
      <c r="R643" s="530"/>
      <c r="S643" s="787"/>
      <c r="T643" s="530"/>
      <c r="U643" s="513"/>
      <c r="X643" s="513"/>
      <c r="Y643" s="513"/>
      <c r="Z643" s="513"/>
      <c r="AA643" s="513"/>
      <c r="AB643" s="513"/>
      <c r="AC643" s="513"/>
      <c r="AD643" s="530"/>
      <c r="AE643" s="530"/>
      <c r="AF643" s="530"/>
      <c r="AG643" s="530"/>
      <c r="AH643" s="530"/>
      <c r="AI643" s="530"/>
      <c r="AJ643" s="530"/>
      <c r="AK643" s="530"/>
      <c r="AL643" s="530"/>
      <c r="AM643" s="530"/>
    </row>
    <row r="644" spans="2:39" x14ac:dyDescent="0.25">
      <c r="B644" s="70"/>
      <c r="C644" s="339"/>
      <c r="D644" s="530"/>
      <c r="E644" s="787"/>
      <c r="F644" s="513"/>
      <c r="G644" s="513"/>
      <c r="H644" s="834"/>
      <c r="I644" s="530"/>
      <c r="J644" s="787"/>
      <c r="K644" s="513"/>
      <c r="L644" s="513"/>
      <c r="M644" s="530"/>
      <c r="N644" s="787"/>
      <c r="O644" s="513"/>
      <c r="P644" s="530"/>
      <c r="Q644" s="787"/>
      <c r="R644" s="530"/>
      <c r="S644" s="787"/>
      <c r="T644" s="530"/>
      <c r="U644" s="513"/>
      <c r="X644" s="513"/>
      <c r="Y644" s="513"/>
      <c r="Z644" s="513"/>
      <c r="AA644" s="513"/>
      <c r="AB644" s="513"/>
      <c r="AC644" s="513"/>
      <c r="AD644" s="530"/>
      <c r="AE644" s="530"/>
      <c r="AF644" s="530"/>
      <c r="AG644" s="530"/>
      <c r="AH644" s="530"/>
      <c r="AI644" s="530"/>
      <c r="AJ644" s="530"/>
      <c r="AK644" s="530"/>
      <c r="AL644" s="530"/>
      <c r="AM644" s="530"/>
    </row>
    <row r="645" spans="2:39" x14ac:dyDescent="0.25">
      <c r="B645" s="70"/>
      <c r="C645" s="339"/>
      <c r="D645" s="530"/>
      <c r="E645" s="787"/>
      <c r="F645" s="513"/>
      <c r="G645" s="513"/>
      <c r="H645" s="834"/>
      <c r="I645" s="530"/>
      <c r="J645" s="787"/>
      <c r="K645" s="513"/>
      <c r="L645" s="513"/>
      <c r="M645" s="530"/>
      <c r="N645" s="787"/>
      <c r="O645" s="513"/>
      <c r="P645" s="530"/>
      <c r="Q645" s="787"/>
      <c r="R645" s="530"/>
      <c r="S645" s="787"/>
      <c r="T645" s="530"/>
      <c r="U645" s="513"/>
      <c r="X645" s="513"/>
      <c r="Y645" s="513"/>
      <c r="Z645" s="513"/>
      <c r="AA645" s="513"/>
      <c r="AB645" s="513"/>
      <c r="AC645" s="513"/>
      <c r="AD645" s="530"/>
      <c r="AE645" s="530"/>
      <c r="AF645" s="530"/>
      <c r="AG645" s="530"/>
      <c r="AH645" s="530"/>
      <c r="AI645" s="530"/>
      <c r="AJ645" s="530"/>
      <c r="AK645" s="530"/>
      <c r="AL645" s="530"/>
      <c r="AM645" s="530"/>
    </row>
    <row r="646" spans="2:39" x14ac:dyDescent="0.25">
      <c r="B646" s="70"/>
      <c r="C646" s="339"/>
      <c r="D646" s="530"/>
      <c r="E646" s="787"/>
      <c r="F646" s="513"/>
      <c r="G646" s="513"/>
      <c r="H646" s="834"/>
      <c r="I646" s="530"/>
      <c r="J646" s="787"/>
      <c r="K646" s="513"/>
      <c r="L646" s="513"/>
      <c r="M646" s="530"/>
      <c r="N646" s="787"/>
      <c r="O646" s="513"/>
      <c r="P646" s="530"/>
      <c r="Q646" s="787"/>
      <c r="R646" s="530"/>
      <c r="S646" s="787"/>
      <c r="T646" s="530"/>
      <c r="U646" s="513"/>
      <c r="X646" s="513"/>
      <c r="Y646" s="513"/>
      <c r="Z646" s="513"/>
      <c r="AA646" s="513"/>
      <c r="AB646" s="513"/>
      <c r="AC646" s="513"/>
      <c r="AD646" s="530"/>
      <c r="AE646" s="530"/>
      <c r="AF646" s="530"/>
      <c r="AG646" s="530"/>
      <c r="AH646" s="530"/>
      <c r="AI646" s="530"/>
      <c r="AJ646" s="530"/>
      <c r="AK646" s="530"/>
      <c r="AL646" s="530"/>
      <c r="AM646" s="530"/>
    </row>
    <row r="647" spans="2:39" x14ac:dyDescent="0.25">
      <c r="B647" s="70"/>
      <c r="C647" s="339"/>
      <c r="D647" s="530"/>
      <c r="E647" s="787"/>
      <c r="F647" s="513"/>
      <c r="G647" s="513"/>
      <c r="H647" s="834"/>
      <c r="I647" s="530"/>
      <c r="J647" s="787"/>
      <c r="K647" s="513"/>
      <c r="L647" s="513"/>
      <c r="M647" s="530"/>
      <c r="N647" s="787"/>
      <c r="O647" s="513"/>
      <c r="P647" s="530"/>
      <c r="Q647" s="787"/>
      <c r="R647" s="530"/>
      <c r="S647" s="787"/>
      <c r="T647" s="530"/>
      <c r="U647" s="513"/>
      <c r="X647" s="513"/>
      <c r="Y647" s="513"/>
      <c r="Z647" s="513"/>
      <c r="AA647" s="513"/>
      <c r="AB647" s="513"/>
      <c r="AC647" s="513"/>
      <c r="AD647" s="530"/>
      <c r="AE647" s="530"/>
      <c r="AF647" s="530"/>
      <c r="AG647" s="530"/>
      <c r="AH647" s="530"/>
      <c r="AI647" s="530"/>
      <c r="AJ647" s="530"/>
      <c r="AK647" s="530"/>
      <c r="AL647" s="530"/>
      <c r="AM647" s="530"/>
    </row>
    <row r="648" spans="2:39" x14ac:dyDescent="0.25">
      <c r="B648" s="70"/>
      <c r="C648" s="339"/>
      <c r="D648" s="530"/>
      <c r="E648" s="787"/>
      <c r="F648" s="513"/>
      <c r="G648" s="513"/>
      <c r="H648" s="834"/>
      <c r="I648" s="530"/>
      <c r="J648" s="787"/>
      <c r="K648" s="513"/>
      <c r="L648" s="513"/>
      <c r="M648" s="530"/>
      <c r="N648" s="787"/>
      <c r="O648" s="513"/>
      <c r="P648" s="530"/>
      <c r="Q648" s="787"/>
      <c r="R648" s="530"/>
      <c r="S648" s="787"/>
      <c r="T648" s="530"/>
      <c r="U648" s="513"/>
      <c r="X648" s="513"/>
      <c r="Y648" s="513"/>
      <c r="Z648" s="513"/>
      <c r="AA648" s="513"/>
      <c r="AB648" s="513"/>
      <c r="AC648" s="513"/>
      <c r="AD648" s="530"/>
      <c r="AE648" s="530"/>
      <c r="AF648" s="530"/>
      <c r="AG648" s="530"/>
      <c r="AH648" s="530"/>
      <c r="AI648" s="530"/>
      <c r="AJ648" s="530"/>
      <c r="AK648" s="530"/>
      <c r="AL648" s="530"/>
      <c r="AM648" s="530"/>
    </row>
    <row r="649" spans="2:39" x14ac:dyDescent="0.25">
      <c r="B649" s="70"/>
      <c r="C649" s="339"/>
      <c r="D649" s="530"/>
      <c r="E649" s="787"/>
      <c r="F649" s="513"/>
      <c r="G649" s="513"/>
      <c r="H649" s="834"/>
      <c r="I649" s="530"/>
      <c r="J649" s="787"/>
      <c r="K649" s="513"/>
      <c r="L649" s="513"/>
      <c r="M649" s="530"/>
      <c r="N649" s="787"/>
      <c r="O649" s="513"/>
      <c r="P649" s="530"/>
      <c r="Q649" s="787"/>
      <c r="R649" s="530"/>
      <c r="S649" s="787"/>
      <c r="T649" s="530"/>
      <c r="U649" s="513"/>
      <c r="X649" s="513"/>
      <c r="Y649" s="513"/>
      <c r="Z649" s="513"/>
      <c r="AA649" s="513"/>
      <c r="AB649" s="513"/>
      <c r="AC649" s="513"/>
      <c r="AD649" s="530"/>
      <c r="AE649" s="530"/>
      <c r="AF649" s="530"/>
      <c r="AG649" s="530"/>
      <c r="AH649" s="530"/>
      <c r="AI649" s="530"/>
      <c r="AJ649" s="530"/>
      <c r="AK649" s="530"/>
      <c r="AL649" s="530"/>
      <c r="AM649" s="530"/>
    </row>
    <row r="650" spans="2:39" x14ac:dyDescent="0.25">
      <c r="B650" s="70"/>
      <c r="C650" s="339"/>
      <c r="D650" s="530"/>
      <c r="E650" s="787"/>
      <c r="F650" s="513"/>
      <c r="G650" s="513"/>
      <c r="H650" s="834"/>
      <c r="I650" s="530"/>
      <c r="J650" s="787"/>
      <c r="K650" s="513"/>
      <c r="L650" s="513"/>
      <c r="M650" s="530"/>
      <c r="N650" s="787"/>
      <c r="O650" s="513"/>
      <c r="P650" s="530"/>
      <c r="Q650" s="787"/>
      <c r="R650" s="530"/>
      <c r="S650" s="787"/>
      <c r="T650" s="530"/>
      <c r="U650" s="513"/>
      <c r="X650" s="513"/>
      <c r="Y650" s="513"/>
      <c r="Z650" s="513"/>
      <c r="AA650" s="513"/>
      <c r="AB650" s="513"/>
      <c r="AC650" s="513"/>
      <c r="AD650" s="530"/>
      <c r="AE650" s="530"/>
      <c r="AF650" s="530"/>
      <c r="AG650" s="530"/>
      <c r="AH650" s="530"/>
      <c r="AI650" s="530"/>
      <c r="AJ650" s="530"/>
      <c r="AK650" s="530"/>
      <c r="AL650" s="530"/>
      <c r="AM650" s="530"/>
    </row>
    <row r="651" spans="2:39" x14ac:dyDescent="0.25">
      <c r="B651" s="70"/>
      <c r="C651" s="339"/>
      <c r="D651" s="530"/>
      <c r="E651" s="787"/>
      <c r="F651" s="513"/>
      <c r="G651" s="513"/>
      <c r="H651" s="834"/>
      <c r="I651" s="530"/>
      <c r="J651" s="787"/>
      <c r="K651" s="513"/>
      <c r="L651" s="513"/>
      <c r="M651" s="530"/>
      <c r="N651" s="787"/>
      <c r="O651" s="513"/>
      <c r="P651" s="530"/>
      <c r="Q651" s="787"/>
      <c r="R651" s="530"/>
      <c r="S651" s="787"/>
      <c r="T651" s="530"/>
      <c r="U651" s="513"/>
      <c r="X651" s="513"/>
      <c r="Y651" s="513"/>
      <c r="Z651" s="513"/>
      <c r="AA651" s="513"/>
      <c r="AB651" s="513"/>
      <c r="AC651" s="513"/>
      <c r="AD651" s="530"/>
      <c r="AE651" s="530"/>
      <c r="AF651" s="530"/>
      <c r="AG651" s="530"/>
      <c r="AH651" s="530"/>
      <c r="AI651" s="530"/>
      <c r="AJ651" s="530"/>
      <c r="AK651" s="530"/>
      <c r="AL651" s="530"/>
      <c r="AM651" s="530"/>
    </row>
    <row r="652" spans="2:39" x14ac:dyDescent="0.25">
      <c r="B652" s="70"/>
      <c r="C652" s="339"/>
      <c r="D652" s="530"/>
      <c r="E652" s="787"/>
      <c r="F652" s="513"/>
      <c r="G652" s="513"/>
      <c r="H652" s="834"/>
      <c r="I652" s="531"/>
      <c r="J652" s="803"/>
      <c r="K652" s="513"/>
      <c r="L652" s="513"/>
      <c r="M652" s="530"/>
      <c r="N652" s="787"/>
      <c r="O652" s="514"/>
      <c r="P652" s="531"/>
      <c r="Q652" s="803"/>
      <c r="R652" s="531"/>
      <c r="S652" s="803"/>
      <c r="T652" s="531"/>
      <c r="U652" s="514"/>
      <c r="W652" s="531"/>
      <c r="X652" s="514"/>
      <c r="Y652" s="514"/>
      <c r="Z652" s="514"/>
      <c r="AA652" s="514"/>
      <c r="AB652" s="514"/>
      <c r="AC652" s="514"/>
      <c r="AD652" s="530"/>
      <c r="AE652" s="530"/>
      <c r="AF652" s="530"/>
      <c r="AG652" s="530"/>
      <c r="AH652" s="530"/>
      <c r="AI652" s="530"/>
      <c r="AJ652" s="530"/>
      <c r="AK652" s="530"/>
      <c r="AL652" s="530"/>
      <c r="AM652" s="530"/>
    </row>
    <row r="653" spans="2:39" x14ac:dyDescent="0.25">
      <c r="B653" s="70"/>
      <c r="I653" s="532"/>
      <c r="J653" s="417"/>
      <c r="O653" s="4"/>
      <c r="P653" s="532"/>
      <c r="Q653" s="803"/>
      <c r="R653" s="531"/>
      <c r="S653" s="803"/>
      <c r="T653" s="531"/>
      <c r="U653" s="514"/>
      <c r="W653" s="531"/>
      <c r="X653" s="514"/>
      <c r="Y653" s="514"/>
      <c r="Z653" s="514"/>
      <c r="AA653" s="514"/>
      <c r="AB653" s="514"/>
      <c r="AC653" s="514"/>
      <c r="AD653" s="530"/>
      <c r="AE653" s="530"/>
      <c r="AF653" s="530"/>
      <c r="AG653" s="530"/>
      <c r="AH653" s="530"/>
      <c r="AI653" s="530"/>
      <c r="AJ653" s="530"/>
      <c r="AK653" s="530"/>
      <c r="AL653" s="530"/>
      <c r="AM653" s="530"/>
    </row>
    <row r="654" spans="2:39" x14ac:dyDescent="0.25">
      <c r="B654" s="70"/>
      <c r="C654" s="5"/>
      <c r="D654" s="532"/>
      <c r="E654" s="448"/>
      <c r="F654" s="4"/>
      <c r="G654" s="4"/>
      <c r="I654" s="532"/>
      <c r="J654" s="417"/>
      <c r="K654" s="4"/>
      <c r="L654" s="4"/>
      <c r="M654" s="532"/>
      <c r="N654" s="448"/>
      <c r="O654" s="4"/>
      <c r="P654" s="532"/>
      <c r="Q654" s="417"/>
      <c r="R654" s="532"/>
      <c r="S654" s="417"/>
      <c r="T654" s="532"/>
      <c r="U654" s="4"/>
      <c r="W654" s="531"/>
      <c r="X654" s="4"/>
      <c r="Y654" s="4"/>
      <c r="Z654" s="4"/>
      <c r="AA654" s="4"/>
      <c r="AB654" s="4"/>
      <c r="AC654" s="4"/>
    </row>
    <row r="655" spans="2:39" ht="20.25" x14ac:dyDescent="0.25">
      <c r="C655" s="340"/>
      <c r="D655" s="638"/>
      <c r="E655" s="788"/>
      <c r="F655" s="4"/>
      <c r="G655" s="4"/>
      <c r="I655" s="532"/>
      <c r="J655" s="417"/>
      <c r="K655" s="505"/>
      <c r="L655" s="504"/>
      <c r="M655" s="772"/>
      <c r="N655" s="788"/>
      <c r="O655" s="4"/>
      <c r="P655" s="532"/>
      <c r="Q655" s="804"/>
      <c r="R655" s="768"/>
      <c r="S655" s="804"/>
      <c r="T655" s="533"/>
      <c r="U655" s="506"/>
      <c r="W655" s="531"/>
      <c r="X655" s="4"/>
      <c r="Y655" s="506"/>
      <c r="Z655" s="506"/>
      <c r="AA655" s="506"/>
      <c r="AB655" s="635"/>
      <c r="AC655" s="506"/>
    </row>
    <row r="656" spans="2:39" ht="21" x14ac:dyDescent="0.25">
      <c r="B656" s="8"/>
      <c r="C656" s="341"/>
      <c r="D656" s="638"/>
      <c r="E656" s="789"/>
      <c r="F656" s="4"/>
      <c r="G656" s="4"/>
      <c r="I656" s="532"/>
      <c r="J656" s="417"/>
      <c r="K656" s="504"/>
      <c r="L656" s="504"/>
      <c r="M656" s="638"/>
      <c r="N656" s="789"/>
      <c r="O656" s="4"/>
      <c r="P656" s="532"/>
      <c r="Q656" s="804"/>
      <c r="R656" s="533"/>
      <c r="S656" s="804"/>
      <c r="T656" s="533"/>
      <c r="U656" s="506"/>
      <c r="W656" s="531"/>
      <c r="X656" s="4"/>
      <c r="Y656" s="506"/>
      <c r="Z656" s="506"/>
      <c r="AA656" s="506"/>
      <c r="AB656" s="506"/>
      <c r="AC656" s="506"/>
    </row>
    <row r="657" spans="2:30" ht="21" x14ac:dyDescent="0.25">
      <c r="B657" s="8"/>
      <c r="C657" s="342"/>
      <c r="D657" s="638"/>
      <c r="E657" s="789"/>
      <c r="F657" s="4"/>
      <c r="G657" s="4"/>
      <c r="I657" s="532"/>
      <c r="J657" s="417"/>
      <c r="K657" s="504"/>
      <c r="L657" s="504"/>
      <c r="M657" s="638"/>
      <c r="N657" s="789"/>
      <c r="O657" s="4"/>
      <c r="P657" s="765"/>
      <c r="Q657" s="805"/>
      <c r="R657" s="534"/>
      <c r="S657" s="805"/>
      <c r="T657" s="534"/>
      <c r="U657" s="515"/>
      <c r="W657" s="531"/>
      <c r="X657" s="515"/>
      <c r="Y657" s="515"/>
      <c r="Z657" s="636"/>
      <c r="AA657" s="637"/>
      <c r="AB657" s="515"/>
      <c r="AC657" s="515"/>
      <c r="AD657" s="534"/>
    </row>
    <row r="658" spans="2:30" ht="21" x14ac:dyDescent="0.25">
      <c r="B658" s="8"/>
      <c r="C658" s="343"/>
      <c r="D658" s="638"/>
      <c r="E658" s="789"/>
      <c r="F658" s="4"/>
      <c r="G658" s="4"/>
      <c r="I658" s="532"/>
      <c r="J658" s="417"/>
      <c r="K658" s="638"/>
      <c r="L658" s="639"/>
      <c r="M658" s="638"/>
      <c r="N658" s="789"/>
      <c r="O658" s="4"/>
      <c r="P658" s="765"/>
      <c r="Q658" s="805"/>
      <c r="R658" s="534"/>
      <c r="S658" s="805"/>
      <c r="T658" s="534"/>
      <c r="U658" s="515"/>
      <c r="W658" s="531"/>
      <c r="X658" s="515"/>
      <c r="Y658" s="515"/>
      <c r="Z658" s="636"/>
      <c r="AA658" s="515"/>
      <c r="AB658" s="515"/>
      <c r="AC658" s="515"/>
      <c r="AD658" s="534"/>
    </row>
    <row r="659" spans="2:30" ht="21" x14ac:dyDescent="0.25">
      <c r="B659" s="8"/>
      <c r="C659" s="343"/>
      <c r="D659" s="638"/>
      <c r="E659" s="790"/>
      <c r="F659" s="4"/>
      <c r="G659" s="4"/>
      <c r="I659" s="532"/>
      <c r="J659" s="417"/>
      <c r="K659" s="516"/>
      <c r="L659" s="516"/>
      <c r="M659" s="535"/>
      <c r="N659" s="790"/>
      <c r="O659" s="4"/>
      <c r="P659" s="765"/>
      <c r="Q659" s="805"/>
      <c r="R659" s="534"/>
      <c r="S659" s="805"/>
      <c r="T659" s="534"/>
      <c r="U659" s="515"/>
      <c r="W659" s="531"/>
      <c r="X659" s="515"/>
      <c r="Y659" s="515"/>
      <c r="Z659" s="636"/>
      <c r="AA659" s="515"/>
      <c r="AB659" s="515"/>
      <c r="AC659" s="515"/>
      <c r="AD659" s="534"/>
    </row>
    <row r="660" spans="2:30" ht="21" x14ac:dyDescent="0.25">
      <c r="B660" s="8"/>
      <c r="C660" s="343"/>
      <c r="D660" s="638"/>
      <c r="E660" s="790"/>
      <c r="F660" s="4"/>
      <c r="G660" s="4"/>
      <c r="I660" s="532"/>
      <c r="J660" s="417"/>
      <c r="K660" s="516"/>
      <c r="L660" s="516"/>
      <c r="M660" s="535"/>
      <c r="N660" s="790"/>
      <c r="O660" s="4"/>
      <c r="P660" s="765"/>
      <c r="Q660" s="805"/>
      <c r="R660" s="534"/>
      <c r="S660" s="805"/>
      <c r="T660" s="534"/>
      <c r="U660" s="515"/>
      <c r="W660" s="531"/>
      <c r="X660" s="515"/>
      <c r="Y660" s="515"/>
      <c r="Z660" s="636"/>
      <c r="AA660" s="515"/>
      <c r="AB660" s="515"/>
      <c r="AC660" s="515"/>
      <c r="AD660" s="534"/>
    </row>
    <row r="661" spans="2:30" ht="21" x14ac:dyDescent="0.25">
      <c r="B661" s="8"/>
      <c r="C661" s="343"/>
      <c r="D661" s="638"/>
      <c r="E661" s="790"/>
      <c r="F661" s="4"/>
      <c r="G661" s="4"/>
      <c r="I661" s="532"/>
      <c r="J661" s="417"/>
      <c r="K661" s="516"/>
      <c r="L661" s="516"/>
      <c r="M661" s="535"/>
      <c r="N661" s="790"/>
      <c r="O661" s="4"/>
      <c r="P661" s="765"/>
      <c r="Q661" s="805"/>
      <c r="R661" s="534"/>
      <c r="S661" s="805"/>
      <c r="T661" s="534"/>
      <c r="U661" s="515"/>
      <c r="W661" s="531"/>
      <c r="X661" s="515"/>
      <c r="Y661" s="515"/>
      <c r="Z661" s="636"/>
      <c r="AA661" s="515"/>
      <c r="AB661" s="515"/>
      <c r="AC661" s="515"/>
      <c r="AD661" s="534"/>
    </row>
    <row r="662" spans="2:30" ht="21" x14ac:dyDescent="0.25">
      <c r="B662" s="8"/>
      <c r="C662" s="343"/>
      <c r="D662" s="638"/>
      <c r="E662" s="790"/>
      <c r="F662" s="4"/>
      <c r="G662" s="4"/>
      <c r="I662" s="532"/>
      <c r="J662" s="417"/>
      <c r="K662" s="516"/>
      <c r="L662" s="516"/>
      <c r="M662" s="535"/>
      <c r="N662" s="790"/>
      <c r="O662" s="4"/>
      <c r="P662" s="765"/>
      <c r="Q662" s="805"/>
      <c r="R662" s="534"/>
      <c r="S662" s="805"/>
      <c r="T662" s="534"/>
      <c r="U662" s="515"/>
      <c r="W662" s="531"/>
      <c r="X662" s="515"/>
      <c r="Y662" s="515"/>
      <c r="Z662" s="636"/>
      <c r="AA662" s="515"/>
      <c r="AB662" s="515"/>
      <c r="AC662" s="515"/>
      <c r="AD662" s="534"/>
    </row>
    <row r="663" spans="2:30" ht="21" x14ac:dyDescent="0.25">
      <c r="B663" s="8"/>
      <c r="C663" s="343"/>
      <c r="D663" s="638"/>
      <c r="E663" s="790"/>
      <c r="F663" s="4"/>
      <c r="G663" s="4"/>
      <c r="I663" s="532"/>
      <c r="J663" s="417"/>
      <c r="K663" s="516"/>
      <c r="L663" s="516"/>
      <c r="M663" s="535"/>
      <c r="N663" s="790"/>
      <c r="O663" s="4"/>
      <c r="P663" s="765"/>
      <c r="Q663" s="805"/>
      <c r="R663" s="534"/>
      <c r="S663" s="805"/>
      <c r="T663" s="534"/>
      <c r="U663" s="515"/>
      <c r="W663" s="531"/>
      <c r="X663" s="515"/>
      <c r="Y663" s="515"/>
      <c r="Z663" s="636"/>
      <c r="AA663" s="515"/>
      <c r="AB663" s="515"/>
      <c r="AC663" s="515"/>
      <c r="AD663" s="534"/>
    </row>
    <row r="664" spans="2:30" ht="21" x14ac:dyDescent="0.25">
      <c r="B664" s="8"/>
      <c r="C664" s="343"/>
      <c r="D664" s="535"/>
      <c r="E664" s="790"/>
      <c r="F664" s="4"/>
      <c r="G664" s="4"/>
      <c r="I664" s="532"/>
      <c r="J664" s="417"/>
      <c r="K664" s="516"/>
      <c r="L664" s="516"/>
      <c r="M664" s="535"/>
      <c r="N664" s="790"/>
      <c r="O664" s="4"/>
      <c r="P664" s="765"/>
      <c r="Q664" s="805"/>
      <c r="R664" s="534"/>
      <c r="S664" s="805"/>
      <c r="T664" s="534"/>
      <c r="U664" s="515"/>
      <c r="W664" s="531"/>
      <c r="X664" s="515"/>
      <c r="Y664" s="515"/>
      <c r="Z664" s="636"/>
      <c r="AA664" s="637"/>
      <c r="AB664" s="515"/>
      <c r="AC664" s="515"/>
      <c r="AD664" s="534"/>
    </row>
    <row r="665" spans="2:30" ht="21" x14ac:dyDescent="0.25">
      <c r="B665" s="8"/>
      <c r="C665" s="340"/>
      <c r="D665" s="638"/>
      <c r="E665" s="788"/>
      <c r="F665" s="4"/>
      <c r="G665" s="4"/>
      <c r="I665" s="532"/>
      <c r="J665" s="417"/>
      <c r="K665" s="505"/>
      <c r="L665" s="504"/>
      <c r="M665" s="772"/>
      <c r="N665" s="788"/>
      <c r="O665" s="4"/>
      <c r="P665" s="765"/>
      <c r="Q665" s="805"/>
      <c r="R665" s="534"/>
      <c r="S665" s="805"/>
      <c r="T665" s="534"/>
      <c r="U665" s="515"/>
      <c r="W665" s="531"/>
      <c r="X665" s="515"/>
      <c r="Y665" s="515"/>
      <c r="Z665" s="636"/>
      <c r="AA665" s="515"/>
      <c r="AB665" s="515"/>
      <c r="AC665" s="515"/>
      <c r="AD665" s="534"/>
    </row>
    <row r="666" spans="2:30" x14ac:dyDescent="0.25">
      <c r="B666" s="8"/>
      <c r="C666" s="343"/>
      <c r="D666" s="638"/>
      <c r="E666" s="789"/>
      <c r="F666" s="4"/>
      <c r="G666" s="4"/>
      <c r="I666" s="532"/>
      <c r="J666" s="417"/>
      <c r="K666" s="504"/>
      <c r="L666" s="504"/>
      <c r="M666" s="638"/>
      <c r="N666" s="789"/>
      <c r="O666" s="4"/>
      <c r="P666" s="532"/>
      <c r="Q666" s="417"/>
      <c r="R666" s="532"/>
      <c r="S666" s="417"/>
      <c r="T666" s="532"/>
      <c r="U666" s="405"/>
      <c r="W666" s="531"/>
      <c r="X666" s="4"/>
      <c r="Y666" s="405"/>
      <c r="Z666" s="405"/>
      <c r="AA666" s="405"/>
      <c r="AB666" s="405"/>
      <c r="AC666" s="405"/>
      <c r="AD666" s="532"/>
    </row>
    <row r="667" spans="2:30" ht="21" x14ac:dyDescent="0.25">
      <c r="B667" s="8"/>
      <c r="C667" s="342"/>
      <c r="D667" s="638"/>
      <c r="E667" s="789"/>
      <c r="F667" s="4"/>
      <c r="G667" s="4"/>
      <c r="I667" s="532"/>
      <c r="J667" s="417"/>
      <c r="K667" s="504"/>
      <c r="L667" s="504"/>
      <c r="M667" s="638"/>
      <c r="N667" s="789"/>
      <c r="O667" s="4"/>
      <c r="P667" s="532"/>
      <c r="Q667" s="804"/>
      <c r="R667" s="768"/>
      <c r="S667" s="804"/>
      <c r="T667" s="533"/>
      <c r="U667" s="506"/>
      <c r="W667" s="531"/>
      <c r="X667" s="636"/>
      <c r="Y667" s="506"/>
      <c r="Z667" s="506"/>
      <c r="AA667" s="506"/>
      <c r="AB667" s="635"/>
      <c r="AC667" s="506"/>
      <c r="AD667" s="755"/>
    </row>
    <row r="668" spans="2:30" ht="21" x14ac:dyDescent="0.25">
      <c r="B668" s="8"/>
      <c r="C668" s="343"/>
      <c r="D668" s="638"/>
      <c r="E668" s="789"/>
      <c r="F668" s="4"/>
      <c r="G668" s="4"/>
      <c r="I668" s="532"/>
      <c r="J668" s="417"/>
      <c r="K668" s="638"/>
      <c r="L668" s="639"/>
      <c r="M668" s="772"/>
      <c r="N668" s="788"/>
      <c r="O668" s="4"/>
      <c r="P668" s="766"/>
      <c r="Q668" s="804"/>
      <c r="R668" s="533"/>
      <c r="S668" s="804"/>
      <c r="T668" s="533"/>
      <c r="U668" s="506"/>
      <c r="W668" s="531"/>
      <c r="X668" s="515"/>
      <c r="Y668" s="506"/>
      <c r="Z668" s="506"/>
      <c r="AA668" s="506"/>
      <c r="AB668" s="506"/>
      <c r="AC668" s="506"/>
      <c r="AD668" s="534"/>
    </row>
    <row r="669" spans="2:30" ht="21" x14ac:dyDescent="0.25">
      <c r="B669" s="8"/>
      <c r="C669" s="343"/>
      <c r="D669" s="535"/>
      <c r="E669" s="790"/>
      <c r="F669" s="4"/>
      <c r="G669" s="4"/>
      <c r="I669" s="532"/>
      <c r="J669" s="417"/>
      <c r="K669" s="516"/>
      <c r="L669" s="641"/>
      <c r="M669" s="535"/>
      <c r="N669" s="790"/>
      <c r="O669" s="4"/>
      <c r="P669" s="765"/>
      <c r="Q669" s="805"/>
      <c r="R669" s="534"/>
      <c r="S669" s="805"/>
      <c r="T669" s="534"/>
      <c r="U669" s="515"/>
      <c r="W669" s="531"/>
      <c r="X669" s="515"/>
      <c r="Y669" s="515"/>
      <c r="Z669" s="636"/>
      <c r="AA669" s="637"/>
      <c r="AB669" s="515"/>
      <c r="AC669" s="515"/>
      <c r="AD669" s="534"/>
    </row>
    <row r="670" spans="2:30" ht="21" x14ac:dyDescent="0.25">
      <c r="B670" s="8"/>
      <c r="C670" s="343"/>
      <c r="D670" s="535"/>
      <c r="E670" s="790"/>
      <c r="F670" s="4"/>
      <c r="G670" s="4"/>
      <c r="I670" s="532"/>
      <c r="J670" s="417"/>
      <c r="K670" s="516"/>
      <c r="L670" s="641"/>
      <c r="M670" s="535"/>
      <c r="N670" s="790"/>
      <c r="O670" s="4"/>
      <c r="P670" s="765"/>
      <c r="Q670" s="805"/>
      <c r="R670" s="534"/>
      <c r="S670" s="805"/>
      <c r="T670" s="534"/>
      <c r="U670" s="515"/>
      <c r="W670" s="531"/>
      <c r="X670" s="515"/>
      <c r="Y670" s="515"/>
      <c r="Z670" s="636"/>
      <c r="AA670" s="515"/>
      <c r="AB670" s="515"/>
      <c r="AC670" s="515"/>
      <c r="AD670" s="534"/>
    </row>
    <row r="671" spans="2:30" ht="21" x14ac:dyDescent="0.25">
      <c r="B671" s="8"/>
      <c r="C671" s="343"/>
      <c r="D671" s="535"/>
      <c r="E671" s="790"/>
      <c r="F671" s="4"/>
      <c r="G671" s="4"/>
      <c r="I671" s="532"/>
      <c r="J671" s="417"/>
      <c r="K671" s="516"/>
      <c r="L671" s="516"/>
      <c r="M671" s="535"/>
      <c r="N671" s="790"/>
      <c r="O671" s="4"/>
      <c r="P671" s="765"/>
      <c r="Q671" s="805"/>
      <c r="R671" s="534"/>
      <c r="S671" s="805"/>
      <c r="T671" s="534"/>
      <c r="U671" s="515"/>
      <c r="W671" s="531"/>
      <c r="X671" s="515"/>
      <c r="Y671" s="515"/>
      <c r="Z671" s="636"/>
      <c r="AA671" s="515"/>
      <c r="AB671" s="515"/>
      <c r="AC671" s="515"/>
      <c r="AD671" s="534"/>
    </row>
    <row r="672" spans="2:30" ht="21" x14ac:dyDescent="0.25">
      <c r="B672" s="8"/>
      <c r="C672" s="343"/>
      <c r="D672" s="535"/>
      <c r="E672" s="790"/>
      <c r="F672" s="4"/>
      <c r="G672" s="4"/>
      <c r="I672" s="532"/>
      <c r="J672" s="417"/>
      <c r="K672" s="516"/>
      <c r="L672" s="641"/>
      <c r="M672" s="535"/>
      <c r="N672" s="790"/>
      <c r="O672" s="4"/>
      <c r="P672" s="765"/>
      <c r="Q672" s="805"/>
      <c r="R672" s="534"/>
      <c r="S672" s="805"/>
      <c r="T672" s="534"/>
      <c r="U672" s="515"/>
      <c r="W672" s="531"/>
      <c r="X672" s="515"/>
      <c r="Y672" s="515"/>
      <c r="Z672" s="636"/>
      <c r="AA672" s="515"/>
      <c r="AB672" s="515"/>
      <c r="AC672" s="515"/>
      <c r="AD672" s="534"/>
    </row>
    <row r="673" spans="2:30" ht="21" x14ac:dyDescent="0.25">
      <c r="B673" s="8"/>
      <c r="C673" s="343"/>
      <c r="D673" s="638"/>
      <c r="E673" s="789"/>
      <c r="F673" s="4"/>
      <c r="G673" s="4"/>
      <c r="I673" s="532"/>
      <c r="J673" s="417"/>
      <c r="K673" s="640"/>
      <c r="L673" s="640"/>
      <c r="M673" s="638"/>
      <c r="N673" s="789"/>
      <c r="O673" s="4"/>
      <c r="P673" s="765"/>
      <c r="Q673" s="805"/>
      <c r="R673" s="534"/>
      <c r="S673" s="805"/>
      <c r="T673" s="534"/>
      <c r="U673" s="515"/>
      <c r="W673" s="531"/>
      <c r="X673" s="515"/>
      <c r="Y673" s="515"/>
      <c r="Z673" s="636"/>
      <c r="AA673" s="515"/>
      <c r="AB673" s="515"/>
      <c r="AC673" s="515"/>
      <c r="AD673" s="534"/>
    </row>
    <row r="674" spans="2:30" ht="21" x14ac:dyDescent="0.25">
      <c r="B674" s="8"/>
      <c r="C674" s="5"/>
      <c r="D674" s="532"/>
      <c r="E674" s="448"/>
      <c r="F674" s="4"/>
      <c r="G674" s="4"/>
      <c r="I674" s="532"/>
      <c r="J674" s="417"/>
      <c r="K674" s="4"/>
      <c r="L674" s="4"/>
      <c r="M674" s="532"/>
      <c r="N674" s="448"/>
      <c r="O674" s="4"/>
      <c r="P674" s="765"/>
      <c r="Q674" s="805"/>
      <c r="R674" s="534"/>
      <c r="S674" s="805"/>
      <c r="T674" s="534"/>
      <c r="U674" s="515"/>
      <c r="W674" s="531"/>
      <c r="X674" s="515"/>
      <c r="Y674" s="515"/>
      <c r="Z674" s="636"/>
      <c r="AA674" s="515"/>
      <c r="AB674" s="515"/>
      <c r="AC674" s="515"/>
      <c r="AD674" s="534"/>
    </row>
    <row r="675" spans="2:30" ht="21" x14ac:dyDescent="0.25">
      <c r="B675" s="8"/>
      <c r="C675" s="340"/>
      <c r="D675" s="638"/>
      <c r="E675" s="788"/>
      <c r="F675" s="4"/>
      <c r="G675" s="4"/>
      <c r="I675" s="532"/>
      <c r="J675" s="417"/>
      <c r="K675" s="505"/>
      <c r="L675" s="504"/>
      <c r="M675" s="772"/>
      <c r="N675" s="788"/>
      <c r="O675" s="4"/>
      <c r="P675" s="765"/>
      <c r="Q675" s="805"/>
      <c r="R675" s="534"/>
      <c r="S675" s="805"/>
      <c r="T675" s="534"/>
      <c r="U675" s="515"/>
      <c r="W675" s="531"/>
      <c r="X675" s="515"/>
      <c r="Y675" s="515"/>
      <c r="Z675" s="636"/>
      <c r="AA675" s="515"/>
      <c r="AB675" s="515"/>
      <c r="AC675" s="515"/>
      <c r="AD675" s="534"/>
    </row>
    <row r="676" spans="2:30" ht="21" x14ac:dyDescent="0.25">
      <c r="B676" s="8"/>
      <c r="C676" s="341"/>
      <c r="D676" s="638"/>
      <c r="E676" s="789"/>
      <c r="F676" s="4"/>
      <c r="G676" s="4"/>
      <c r="I676" s="532"/>
      <c r="J676" s="417"/>
      <c r="K676" s="504"/>
      <c r="L676" s="504"/>
      <c r="M676" s="638"/>
      <c r="N676" s="789"/>
      <c r="O676" s="4"/>
      <c r="P676" s="765"/>
      <c r="Q676" s="805"/>
      <c r="R676" s="534"/>
      <c r="S676" s="805"/>
      <c r="T676" s="534"/>
      <c r="U676" s="515"/>
      <c r="W676" s="531"/>
      <c r="X676" s="515"/>
      <c r="Y676" s="515"/>
      <c r="Z676" s="636"/>
      <c r="AA676" s="637"/>
      <c r="AB676" s="515"/>
      <c r="AC676" s="515"/>
      <c r="AD676" s="534"/>
    </row>
    <row r="677" spans="2:30" ht="21" x14ac:dyDescent="0.25">
      <c r="B677" s="8"/>
      <c r="C677" s="342"/>
      <c r="D677" s="638"/>
      <c r="E677" s="789"/>
      <c r="F677" s="4"/>
      <c r="G677" s="4"/>
      <c r="I677" s="532"/>
      <c r="J677" s="417"/>
      <c r="K677" s="504"/>
      <c r="L677" s="504"/>
      <c r="M677" s="638"/>
      <c r="N677" s="789"/>
      <c r="O677" s="4"/>
      <c r="P677" s="765"/>
      <c r="Q677" s="805"/>
      <c r="R677" s="534"/>
      <c r="S677" s="805"/>
      <c r="T677" s="534"/>
      <c r="U677" s="515"/>
      <c r="W677" s="531"/>
      <c r="X677" s="636"/>
      <c r="Y677" s="515"/>
      <c r="Z677" s="636"/>
      <c r="AA677" s="515"/>
      <c r="AB677" s="515"/>
      <c r="AC677" s="515"/>
      <c r="AD677" s="755"/>
    </row>
    <row r="678" spans="2:30" x14ac:dyDescent="0.25">
      <c r="B678" s="8"/>
      <c r="C678" s="343"/>
      <c r="D678" s="638"/>
      <c r="E678" s="789"/>
      <c r="F678" s="4"/>
      <c r="G678" s="4"/>
      <c r="I678" s="532"/>
      <c r="J678" s="417"/>
      <c r="K678" s="638"/>
      <c r="L678" s="639"/>
      <c r="M678" s="638"/>
      <c r="N678" s="789"/>
      <c r="O678" s="4"/>
      <c r="P678" s="532"/>
      <c r="Q678" s="417"/>
      <c r="R678" s="532"/>
      <c r="S678" s="417"/>
      <c r="T678" s="532"/>
      <c r="U678" s="405"/>
      <c r="W678" s="531"/>
      <c r="X678" s="4"/>
      <c r="Y678" s="405"/>
      <c r="Z678" s="405"/>
      <c r="AA678" s="405"/>
      <c r="AB678" s="405"/>
      <c r="AC678" s="405"/>
      <c r="AD678" s="532"/>
    </row>
    <row r="679" spans="2:30" ht="21" x14ac:dyDescent="0.25">
      <c r="B679" s="8"/>
      <c r="C679" s="343"/>
      <c r="D679" s="638"/>
      <c r="E679" s="790"/>
      <c r="F679" s="4"/>
      <c r="G679" s="4"/>
      <c r="I679" s="532"/>
      <c r="J679" s="417"/>
      <c r="K679" s="516"/>
      <c r="L679" s="516"/>
      <c r="M679" s="535"/>
      <c r="N679" s="790"/>
      <c r="O679" s="4"/>
      <c r="P679" s="766"/>
      <c r="Q679" s="804"/>
      <c r="R679" s="768"/>
      <c r="S679" s="804"/>
      <c r="T679" s="533"/>
      <c r="U679" s="506"/>
      <c r="W679" s="531"/>
      <c r="X679" s="515"/>
      <c r="Y679" s="506"/>
      <c r="Z679" s="506"/>
      <c r="AA679" s="506"/>
      <c r="AB679" s="635"/>
      <c r="AC679" s="506"/>
      <c r="AD679" s="534"/>
    </row>
    <row r="680" spans="2:30" ht="21" x14ac:dyDescent="0.25">
      <c r="B680" s="8"/>
      <c r="C680" s="343"/>
      <c r="D680" s="638"/>
      <c r="E680" s="790"/>
      <c r="F680" s="4"/>
      <c r="G680" s="4"/>
      <c r="I680" s="532"/>
      <c r="J680" s="417"/>
      <c r="K680" s="516"/>
      <c r="L680" s="516"/>
      <c r="M680" s="535"/>
      <c r="N680" s="790"/>
      <c r="O680" s="4"/>
      <c r="P680" s="532"/>
      <c r="Q680" s="804"/>
      <c r="R680" s="533"/>
      <c r="S680" s="804"/>
      <c r="T680" s="533"/>
      <c r="U680" s="506"/>
      <c r="W680" s="531"/>
      <c r="X680" s="515"/>
      <c r="Y680" s="506"/>
      <c r="Z680" s="506"/>
      <c r="AA680" s="506"/>
      <c r="AB680" s="506"/>
      <c r="AC680" s="506"/>
      <c r="AD680" s="534"/>
    </row>
    <row r="681" spans="2:30" ht="21" x14ac:dyDescent="0.25">
      <c r="B681" s="8"/>
      <c r="C681" s="343"/>
      <c r="D681" s="638"/>
      <c r="E681" s="790"/>
      <c r="F681" s="4"/>
      <c r="G681" s="4"/>
      <c r="I681" s="532"/>
      <c r="J681" s="417"/>
      <c r="K681" s="516"/>
      <c r="L681" s="516"/>
      <c r="M681" s="535"/>
      <c r="N681" s="790"/>
      <c r="O681" s="4"/>
      <c r="P681" s="765"/>
      <c r="Q681" s="805"/>
      <c r="R681" s="534"/>
      <c r="S681" s="805"/>
      <c r="T681" s="534"/>
      <c r="U681" s="515"/>
      <c r="W681" s="531"/>
      <c r="X681" s="515"/>
      <c r="Y681" s="515"/>
      <c r="Z681" s="636"/>
      <c r="AA681" s="637"/>
      <c r="AB681" s="515"/>
      <c r="AC681" s="515"/>
      <c r="AD681" s="534"/>
    </row>
    <row r="682" spans="2:30" ht="21" x14ac:dyDescent="0.25">
      <c r="B682" s="8"/>
      <c r="C682" s="343"/>
      <c r="D682" s="638"/>
      <c r="E682" s="790"/>
      <c r="F682" s="4"/>
      <c r="G682" s="4"/>
      <c r="I682" s="532"/>
      <c r="J682" s="417"/>
      <c r="K682" s="516"/>
      <c r="L682" s="516"/>
      <c r="M682" s="535"/>
      <c r="N682" s="790"/>
      <c r="O682" s="4"/>
      <c r="P682" s="765"/>
      <c r="Q682" s="805"/>
      <c r="R682" s="534"/>
      <c r="S682" s="805"/>
      <c r="T682" s="534"/>
      <c r="U682" s="515"/>
      <c r="W682" s="531"/>
      <c r="X682" s="515"/>
      <c r="Y682" s="515"/>
      <c r="Z682" s="636"/>
      <c r="AA682" s="515"/>
      <c r="AB682" s="515"/>
      <c r="AC682" s="515"/>
      <c r="AD682" s="534"/>
    </row>
    <row r="683" spans="2:30" ht="21" x14ac:dyDescent="0.25">
      <c r="B683" s="8"/>
      <c r="C683" s="343"/>
      <c r="D683" s="638"/>
      <c r="E683" s="790"/>
      <c r="F683" s="4"/>
      <c r="G683" s="4"/>
      <c r="I683" s="532"/>
      <c r="J683" s="417"/>
      <c r="K683" s="516"/>
      <c r="L683" s="516"/>
      <c r="M683" s="535"/>
      <c r="N683" s="790"/>
      <c r="O683" s="4"/>
      <c r="P683" s="765"/>
      <c r="Q683" s="805"/>
      <c r="R683" s="534"/>
      <c r="S683" s="805"/>
      <c r="T683" s="534"/>
      <c r="U683" s="515"/>
      <c r="W683" s="531"/>
      <c r="X683" s="515"/>
      <c r="Y683" s="515"/>
      <c r="Z683" s="636"/>
      <c r="AA683" s="515"/>
      <c r="AB683" s="515"/>
      <c r="AC683" s="515"/>
      <c r="AD683" s="534"/>
    </row>
    <row r="684" spans="2:30" ht="21" x14ac:dyDescent="0.25">
      <c r="B684" s="8"/>
      <c r="C684" s="343"/>
      <c r="D684" s="535"/>
      <c r="E684" s="790"/>
      <c r="F684" s="4"/>
      <c r="G684" s="4"/>
      <c r="I684" s="532"/>
      <c r="J684" s="417"/>
      <c r="K684" s="516"/>
      <c r="L684" s="516"/>
      <c r="M684" s="535"/>
      <c r="N684" s="790"/>
      <c r="O684" s="4"/>
      <c r="P684" s="765"/>
      <c r="Q684" s="805"/>
      <c r="R684" s="534"/>
      <c r="S684" s="805"/>
      <c r="T684" s="534"/>
      <c r="U684" s="515"/>
      <c r="W684" s="531"/>
      <c r="X684" s="515"/>
      <c r="Y684" s="515"/>
      <c r="Z684" s="636"/>
      <c r="AA684" s="515"/>
      <c r="AB684" s="515"/>
      <c r="AC684" s="515"/>
      <c r="AD684" s="534"/>
    </row>
    <row r="685" spans="2:30" ht="21" x14ac:dyDescent="0.25">
      <c r="B685" s="8"/>
      <c r="C685" s="340"/>
      <c r="D685" s="638"/>
      <c r="E685" s="788"/>
      <c r="F685" s="4"/>
      <c r="G685" s="4"/>
      <c r="I685" s="532"/>
      <c r="J685" s="417"/>
      <c r="K685" s="505"/>
      <c r="L685" s="504"/>
      <c r="M685" s="772"/>
      <c r="N685" s="788"/>
      <c r="O685" s="4"/>
      <c r="P685" s="765"/>
      <c r="Q685" s="805"/>
      <c r="R685" s="534"/>
      <c r="S685" s="805"/>
      <c r="T685" s="534"/>
      <c r="U685" s="515"/>
      <c r="W685" s="531"/>
      <c r="X685" s="515"/>
      <c r="Y685" s="515"/>
      <c r="Z685" s="636"/>
      <c r="AA685" s="515"/>
      <c r="AB685" s="515"/>
      <c r="AC685" s="515"/>
      <c r="AD685" s="534"/>
    </row>
    <row r="686" spans="2:30" ht="21" x14ac:dyDescent="0.25">
      <c r="B686" s="8"/>
      <c r="C686" s="343"/>
      <c r="D686" s="638"/>
      <c r="E686" s="789"/>
      <c r="F686" s="4"/>
      <c r="G686" s="4"/>
      <c r="I686" s="532"/>
      <c r="J686" s="417"/>
      <c r="K686" s="504"/>
      <c r="L686" s="504"/>
      <c r="M686" s="638"/>
      <c r="N686" s="789"/>
      <c r="O686" s="4"/>
      <c r="P686" s="765"/>
      <c r="Q686" s="805"/>
      <c r="R686" s="534"/>
      <c r="S686" s="805"/>
      <c r="T686" s="534"/>
      <c r="U686" s="515"/>
      <c r="W686" s="531"/>
      <c r="X686" s="515"/>
      <c r="Y686" s="515"/>
      <c r="Z686" s="636"/>
      <c r="AA686" s="515"/>
      <c r="AB686" s="515"/>
      <c r="AC686" s="515"/>
      <c r="AD686" s="534"/>
    </row>
    <row r="687" spans="2:30" ht="21" x14ac:dyDescent="0.25">
      <c r="B687" s="8"/>
      <c r="C687" s="342"/>
      <c r="D687" s="638"/>
      <c r="E687" s="789"/>
      <c r="F687" s="4"/>
      <c r="G687" s="4"/>
      <c r="I687" s="532"/>
      <c r="J687" s="417"/>
      <c r="K687" s="504"/>
      <c r="L687" s="504"/>
      <c r="M687" s="638"/>
      <c r="N687" s="789"/>
      <c r="O687" s="4"/>
      <c r="P687" s="765"/>
      <c r="Q687" s="805"/>
      <c r="R687" s="534"/>
      <c r="S687" s="805"/>
      <c r="T687" s="534"/>
      <c r="U687" s="515"/>
      <c r="W687" s="531"/>
      <c r="X687" s="515"/>
      <c r="Y687" s="515"/>
      <c r="Z687" s="636"/>
      <c r="AA687" s="515"/>
      <c r="AB687" s="515"/>
      <c r="AC687" s="515"/>
      <c r="AD687" s="534"/>
    </row>
    <row r="688" spans="2:30" ht="21" x14ac:dyDescent="0.25">
      <c r="B688" s="8"/>
      <c r="C688" s="343"/>
      <c r="D688" s="638"/>
      <c r="E688" s="789"/>
      <c r="F688" s="4"/>
      <c r="G688" s="4"/>
      <c r="I688" s="532"/>
      <c r="J688" s="417"/>
      <c r="K688" s="638"/>
      <c r="L688" s="639"/>
      <c r="M688" s="772"/>
      <c r="N688" s="788"/>
      <c r="O688" s="4"/>
      <c r="P688" s="765"/>
      <c r="Q688" s="805"/>
      <c r="R688" s="534"/>
      <c r="S688" s="805"/>
      <c r="T688" s="534"/>
      <c r="U688" s="515"/>
      <c r="W688" s="531"/>
      <c r="X688" s="4"/>
      <c r="Y688" s="515"/>
      <c r="Z688" s="636"/>
      <c r="AA688" s="637"/>
      <c r="AB688" s="515"/>
      <c r="AC688" s="515"/>
    </row>
    <row r="689" spans="2:44" ht="21" x14ac:dyDescent="0.25">
      <c r="B689" s="8"/>
      <c r="C689" s="343"/>
      <c r="D689" s="535"/>
      <c r="E689" s="790"/>
      <c r="F689" s="4"/>
      <c r="G689" s="4"/>
      <c r="I689" s="532"/>
      <c r="J689" s="417"/>
      <c r="K689" s="516"/>
      <c r="L689" s="641"/>
      <c r="M689" s="535"/>
      <c r="N689" s="790"/>
      <c r="O689" s="4"/>
      <c r="P689" s="765"/>
      <c r="Q689" s="805"/>
      <c r="R689" s="534"/>
      <c r="S689" s="805"/>
      <c r="T689" s="534"/>
      <c r="U689" s="515"/>
      <c r="W689" s="531"/>
      <c r="X689" s="4"/>
      <c r="Y689" s="515"/>
      <c r="Z689" s="636"/>
      <c r="AA689" s="515"/>
      <c r="AB689" s="515"/>
      <c r="AC689" s="515"/>
    </row>
    <row r="690" spans="2:44" x14ac:dyDescent="0.25">
      <c r="B690" s="8"/>
      <c r="C690" s="343"/>
      <c r="D690" s="535"/>
      <c r="E690" s="790"/>
      <c r="F690" s="4"/>
      <c r="G690" s="4"/>
      <c r="I690" s="532"/>
      <c r="J690" s="417"/>
      <c r="K690" s="516"/>
      <c r="L690" s="641"/>
      <c r="M690" s="535"/>
      <c r="N690" s="790"/>
      <c r="O690" s="4"/>
      <c r="P690" s="638"/>
      <c r="Q690" s="417"/>
      <c r="R690" s="532"/>
      <c r="S690" s="417"/>
      <c r="T690" s="532"/>
      <c r="U690" s="405"/>
      <c r="W690" s="531"/>
      <c r="X690" s="4"/>
      <c r="Y690" s="405"/>
      <c r="Z690" s="405"/>
      <c r="AA690" s="405"/>
      <c r="AB690" s="405"/>
      <c r="AC690" s="405"/>
      <c r="AD690" s="532"/>
      <c r="AE690" s="532"/>
      <c r="AF690" s="532"/>
      <c r="AG690" s="532"/>
      <c r="AH690" s="532"/>
      <c r="AI690" s="532"/>
      <c r="AJ690" s="532"/>
      <c r="AK690" s="532"/>
      <c r="AL690" s="532"/>
      <c r="AM690" s="532"/>
      <c r="AN690" s="532"/>
      <c r="AO690" s="532"/>
      <c r="AP690" s="532"/>
      <c r="AQ690" s="532"/>
      <c r="AR690" s="532"/>
    </row>
    <row r="691" spans="2:44" x14ac:dyDescent="0.25">
      <c r="B691" s="8"/>
      <c r="C691" s="343"/>
      <c r="D691" s="535"/>
      <c r="E691" s="790"/>
      <c r="F691" s="4"/>
      <c r="G691" s="4"/>
      <c r="K691" s="516"/>
      <c r="L691" s="516"/>
      <c r="M691" s="535"/>
      <c r="N691" s="790"/>
      <c r="O691" s="4"/>
      <c r="P691" s="638"/>
      <c r="Q691" s="790"/>
      <c r="R691" s="535"/>
      <c r="S691" s="790"/>
      <c r="T691" s="535"/>
      <c r="U691" s="516"/>
      <c r="W691" s="531"/>
      <c r="X691" s="4"/>
      <c r="Y691" s="4"/>
      <c r="Z691" s="516"/>
      <c r="AA691" s="516"/>
      <c r="AB691" s="4"/>
      <c r="AC691" s="4"/>
      <c r="AD691" s="532"/>
      <c r="AE691" s="532"/>
      <c r="AF691" s="532"/>
      <c r="AG691" s="532"/>
      <c r="AH691" s="532"/>
      <c r="AI691" s="532"/>
      <c r="AJ691" s="532"/>
      <c r="AK691" s="532"/>
      <c r="AL691" s="532"/>
      <c r="AM691" s="532"/>
      <c r="AN691" s="532"/>
      <c r="AO691" s="532"/>
      <c r="AP691" s="532"/>
      <c r="AQ691" s="532"/>
      <c r="AR691" s="532"/>
    </row>
    <row r="692" spans="2:44" ht="21" customHeight="1" x14ac:dyDescent="0.25">
      <c r="B692" s="8"/>
      <c r="C692" s="343"/>
      <c r="D692" s="535"/>
      <c r="E692" s="790"/>
      <c r="F692" s="4"/>
      <c r="G692" s="4"/>
      <c r="K692" s="516"/>
      <c r="L692" s="641"/>
      <c r="M692" s="535"/>
      <c r="N692" s="790"/>
      <c r="O692" s="4"/>
      <c r="P692" s="532"/>
      <c r="Q692" s="806"/>
      <c r="R692" s="769"/>
      <c r="S692" s="806"/>
      <c r="T692" s="536"/>
      <c r="U692" s="508"/>
      <c r="W692" s="531"/>
      <c r="X692" s="642"/>
      <c r="Y692" s="507"/>
      <c r="Z692" s="507"/>
      <c r="AA692" s="508"/>
      <c r="AB692" s="508"/>
      <c r="AC692" s="4"/>
      <c r="AD692" s="532"/>
      <c r="AE692" s="536"/>
      <c r="AF692" s="536"/>
      <c r="AG692" s="532"/>
      <c r="AH692" s="532"/>
      <c r="AI692" s="532"/>
      <c r="AJ692" s="532"/>
      <c r="AK692" s="532"/>
      <c r="AL692" s="532"/>
      <c r="AM692" s="532"/>
      <c r="AN692" s="532"/>
      <c r="AO692" s="532"/>
      <c r="AP692" s="532"/>
      <c r="AQ692" s="532"/>
      <c r="AR692" s="532"/>
    </row>
    <row r="693" spans="2:44" ht="15.75" customHeight="1" x14ac:dyDescent="0.25">
      <c r="B693" s="8"/>
      <c r="C693" s="343"/>
      <c r="D693" s="638"/>
      <c r="E693" s="789"/>
      <c r="F693" s="4"/>
      <c r="G693" s="4"/>
      <c r="K693" s="640"/>
      <c r="L693" s="640"/>
      <c r="M693" s="638"/>
      <c r="N693" s="789"/>
      <c r="O693" s="4"/>
      <c r="P693" s="532"/>
      <c r="Q693" s="806"/>
      <c r="R693" s="536"/>
      <c r="S693" s="806"/>
      <c r="T693" s="536"/>
      <c r="U693" s="508"/>
      <c r="W693" s="531"/>
      <c r="X693" s="508"/>
      <c r="Y693" s="508"/>
      <c r="Z693" s="507"/>
      <c r="AA693" s="508"/>
      <c r="AB693" s="508"/>
      <c r="AC693" s="508"/>
      <c r="AD693" s="536"/>
      <c r="AE693" s="743"/>
      <c r="AF693" s="743"/>
      <c r="AG693" s="536"/>
      <c r="AH693" s="532"/>
      <c r="AI693" s="532"/>
      <c r="AJ693" s="532"/>
      <c r="AK693" s="532"/>
      <c r="AL693" s="532"/>
      <c r="AM693" s="532"/>
      <c r="AN693" s="532"/>
      <c r="AO693" s="532"/>
      <c r="AP693" s="532"/>
      <c r="AQ693" s="532"/>
      <c r="AR693" s="532"/>
    </row>
    <row r="694" spans="2:44" ht="21" customHeight="1" x14ac:dyDescent="0.25">
      <c r="B694" s="8"/>
      <c r="C694" s="5"/>
      <c r="D694" s="532"/>
      <c r="E694" s="448"/>
      <c r="F694" s="4"/>
      <c r="G694" s="4"/>
      <c r="K694" s="4"/>
      <c r="L694" s="4"/>
      <c r="M694" s="532"/>
      <c r="N694" s="448"/>
      <c r="O694" s="4"/>
      <c r="P694" s="765"/>
      <c r="Q694" s="807"/>
      <c r="R694" s="537"/>
      <c r="S694" s="807"/>
      <c r="T694" s="537"/>
      <c r="U694" s="509"/>
      <c r="W694" s="531"/>
      <c r="X694" s="509"/>
      <c r="Y694" s="509"/>
      <c r="Z694" s="509"/>
      <c r="AA694" s="509"/>
      <c r="AB694" s="509"/>
      <c r="AC694" s="643"/>
      <c r="AD694" s="744"/>
      <c r="AE694" s="744"/>
      <c r="AF694" s="537"/>
      <c r="AG694" s="537"/>
      <c r="AH694" s="532"/>
      <c r="AI694" s="532"/>
      <c r="AJ694" s="532"/>
      <c r="AK694" s="532"/>
      <c r="AL694" s="532"/>
      <c r="AM694" s="532"/>
      <c r="AN694" s="532"/>
      <c r="AO694" s="532"/>
      <c r="AP694" s="532"/>
      <c r="AQ694" s="532"/>
      <c r="AR694" s="532"/>
    </row>
    <row r="695" spans="2:44" ht="21" customHeight="1" x14ac:dyDescent="0.25">
      <c r="B695" s="8"/>
      <c r="C695" s="340"/>
      <c r="D695" s="638"/>
      <c r="E695" s="788"/>
      <c r="F695" s="4"/>
      <c r="G695" s="4"/>
      <c r="K695" s="505"/>
      <c r="L695" s="504"/>
      <c r="M695" s="772"/>
      <c r="N695" s="788"/>
      <c r="O695" s="4"/>
      <c r="P695" s="765"/>
      <c r="Q695" s="807"/>
      <c r="R695" s="537"/>
      <c r="S695" s="807"/>
      <c r="T695" s="537"/>
      <c r="U695" s="509"/>
      <c r="W695" s="531"/>
      <c r="X695" s="509"/>
      <c r="Y695" s="509"/>
      <c r="Z695" s="509"/>
      <c r="AA695" s="509"/>
      <c r="AB695" s="509"/>
      <c r="AC695" s="643"/>
      <c r="AD695" s="537"/>
      <c r="AE695" s="744"/>
      <c r="AF695" s="537"/>
      <c r="AG695" s="537"/>
      <c r="AH695" s="532"/>
      <c r="AI695" s="532"/>
      <c r="AJ695" s="532"/>
      <c r="AK695" s="532"/>
      <c r="AL695" s="532"/>
      <c r="AM695" s="532"/>
      <c r="AN695" s="532"/>
      <c r="AO695" s="532"/>
      <c r="AP695" s="532"/>
      <c r="AQ695" s="532"/>
      <c r="AR695" s="532"/>
    </row>
    <row r="696" spans="2:44" ht="21.75" customHeight="1" x14ac:dyDescent="0.25">
      <c r="B696" s="8"/>
      <c r="C696" s="341"/>
      <c r="D696" s="638"/>
      <c r="E696" s="789"/>
      <c r="F696" s="4"/>
      <c r="G696" s="4"/>
      <c r="K696" s="504"/>
      <c r="L696" s="504"/>
      <c r="M696" s="638"/>
      <c r="N696" s="789"/>
      <c r="O696" s="4"/>
      <c r="P696" s="765"/>
      <c r="Q696" s="807"/>
      <c r="R696" s="537"/>
      <c r="S696" s="807"/>
      <c r="T696" s="537"/>
      <c r="U696" s="509"/>
      <c r="W696" s="531"/>
      <c r="X696" s="509"/>
      <c r="Y696" s="509"/>
      <c r="Z696" s="509"/>
      <c r="AA696" s="509"/>
      <c r="AB696" s="509"/>
      <c r="AC696" s="643"/>
      <c r="AD696" s="744"/>
      <c r="AE696" s="744"/>
      <c r="AF696" s="744"/>
      <c r="AG696" s="537"/>
      <c r="AH696" s="532"/>
      <c r="AI696" s="532"/>
      <c r="AJ696" s="532"/>
      <c r="AK696" s="532"/>
      <c r="AL696" s="532"/>
      <c r="AM696" s="532"/>
      <c r="AN696" s="532"/>
      <c r="AO696" s="532"/>
      <c r="AP696" s="532"/>
      <c r="AQ696" s="532"/>
      <c r="AR696" s="532"/>
    </row>
    <row r="697" spans="2:44" ht="21" x14ac:dyDescent="0.25">
      <c r="B697" s="8"/>
      <c r="C697" s="342"/>
      <c r="D697" s="638"/>
      <c r="E697" s="789"/>
      <c r="F697" s="4"/>
      <c r="G697" s="4"/>
      <c r="K697" s="504"/>
      <c r="L697" s="504"/>
      <c r="M697" s="638"/>
      <c r="N697" s="789"/>
      <c r="O697" s="4"/>
      <c r="P697" s="765"/>
      <c r="Q697" s="807"/>
      <c r="R697" s="537"/>
      <c r="S697" s="807"/>
      <c r="T697" s="537"/>
      <c r="U697" s="509"/>
      <c r="W697" s="531"/>
      <c r="X697" s="509"/>
      <c r="Y697" s="509"/>
      <c r="Z697" s="509"/>
      <c r="AA697" s="509"/>
      <c r="AB697" s="509"/>
      <c r="AC697" s="643"/>
      <c r="AD697" s="537"/>
      <c r="AE697" s="744"/>
      <c r="AF697" s="537"/>
      <c r="AG697" s="537"/>
      <c r="AH697" s="532"/>
      <c r="AI697" s="532"/>
      <c r="AJ697" s="532"/>
      <c r="AK697" s="532"/>
      <c r="AL697" s="532"/>
      <c r="AM697" s="532"/>
      <c r="AN697" s="532"/>
      <c r="AO697" s="532"/>
      <c r="AP697" s="532"/>
      <c r="AQ697" s="532"/>
      <c r="AR697" s="532"/>
    </row>
    <row r="698" spans="2:44" ht="21" x14ac:dyDescent="0.25">
      <c r="B698" s="8"/>
      <c r="C698" s="343"/>
      <c r="D698" s="638"/>
      <c r="E698" s="789"/>
      <c r="F698" s="4"/>
      <c r="G698" s="4"/>
      <c r="K698" s="638"/>
      <c r="L698" s="639"/>
      <c r="M698" s="638"/>
      <c r="N698" s="789"/>
      <c r="O698" s="4"/>
      <c r="P698" s="765"/>
      <c r="Q698" s="807"/>
      <c r="R698" s="537"/>
      <c r="S698" s="807"/>
      <c r="T698" s="537"/>
      <c r="U698" s="509"/>
      <c r="W698" s="531"/>
      <c r="X698" s="509"/>
      <c r="Y698" s="509"/>
      <c r="Z698" s="509"/>
      <c r="AA698" s="509"/>
      <c r="AB698" s="509"/>
      <c r="AC698" s="643"/>
      <c r="AD698" s="537"/>
      <c r="AE698" s="744"/>
      <c r="AF698" s="537"/>
      <c r="AG698" s="537"/>
      <c r="AH698" s="532"/>
      <c r="AI698" s="532"/>
      <c r="AJ698" s="532"/>
      <c r="AK698" s="532"/>
      <c r="AL698" s="532"/>
      <c r="AM698" s="532"/>
      <c r="AN698" s="532"/>
      <c r="AO698" s="532"/>
      <c r="AP698" s="532"/>
      <c r="AQ698" s="532"/>
      <c r="AR698" s="532"/>
    </row>
    <row r="699" spans="2:44" ht="21" x14ac:dyDescent="0.25">
      <c r="B699" s="8"/>
      <c r="C699" s="343"/>
      <c r="D699" s="638"/>
      <c r="E699" s="790"/>
      <c r="F699" s="4"/>
      <c r="G699" s="4"/>
      <c r="K699" s="516"/>
      <c r="L699" s="516"/>
      <c r="M699" s="535"/>
      <c r="N699" s="790"/>
      <c r="O699" s="4"/>
      <c r="P699" s="765"/>
      <c r="Q699" s="807"/>
      <c r="R699" s="537"/>
      <c r="S699" s="807"/>
      <c r="T699" s="537"/>
      <c r="U699" s="509"/>
      <c r="W699" s="531"/>
      <c r="X699" s="509"/>
      <c r="Y699" s="509"/>
      <c r="Z699" s="509"/>
      <c r="AA699" s="509"/>
      <c r="AB699" s="509"/>
      <c r="AC699" s="643"/>
      <c r="AD699" s="537"/>
      <c r="AE699" s="744"/>
      <c r="AF699" s="744"/>
      <c r="AG699" s="537"/>
      <c r="AH699" s="532"/>
      <c r="AI699" s="532"/>
      <c r="AJ699" s="532"/>
      <c r="AK699" s="532"/>
      <c r="AL699" s="532"/>
      <c r="AM699" s="532"/>
      <c r="AN699" s="532"/>
      <c r="AO699" s="532"/>
      <c r="AP699" s="532"/>
      <c r="AQ699" s="532"/>
      <c r="AR699" s="532"/>
    </row>
    <row r="700" spans="2:44" ht="21" x14ac:dyDescent="0.25">
      <c r="B700" s="8"/>
      <c r="C700" s="343"/>
      <c r="D700" s="638"/>
      <c r="E700" s="790"/>
      <c r="F700" s="4"/>
      <c r="G700" s="4"/>
      <c r="K700" s="516"/>
      <c r="L700" s="516"/>
      <c r="M700" s="535"/>
      <c r="N700" s="790"/>
      <c r="O700" s="4"/>
      <c r="P700" s="765"/>
      <c r="Q700" s="807"/>
      <c r="R700" s="537"/>
      <c r="S700" s="807"/>
      <c r="T700" s="537"/>
      <c r="U700" s="509"/>
      <c r="W700" s="531"/>
      <c r="X700" s="509"/>
      <c r="Y700" s="509"/>
      <c r="Z700" s="509"/>
      <c r="AA700" s="509"/>
      <c r="AB700" s="509"/>
      <c r="AC700" s="643"/>
      <c r="AD700" s="537"/>
      <c r="AE700" s="744"/>
      <c r="AF700" s="537"/>
      <c r="AG700" s="537"/>
      <c r="AH700" s="532"/>
      <c r="AI700" s="532"/>
      <c r="AJ700" s="532"/>
      <c r="AK700" s="532"/>
      <c r="AL700" s="532"/>
      <c r="AM700" s="532"/>
      <c r="AN700" s="532"/>
      <c r="AO700" s="532"/>
      <c r="AP700" s="532"/>
      <c r="AQ700" s="532"/>
      <c r="AR700" s="532"/>
    </row>
    <row r="701" spans="2:44" ht="21" x14ac:dyDescent="0.25">
      <c r="B701" s="8"/>
      <c r="C701" s="343"/>
      <c r="D701" s="638"/>
      <c r="E701" s="790"/>
      <c r="F701" s="4"/>
      <c r="G701" s="4"/>
      <c r="K701" s="516"/>
      <c r="L701" s="516"/>
      <c r="M701" s="535"/>
      <c r="N701" s="790"/>
      <c r="O701" s="4"/>
      <c r="P701" s="765"/>
      <c r="Q701" s="807"/>
      <c r="R701" s="537"/>
      <c r="S701" s="807"/>
      <c r="T701" s="537"/>
      <c r="U701" s="509"/>
      <c r="W701" s="531"/>
      <c r="X701" s="509"/>
      <c r="Y701" s="509"/>
      <c r="Z701" s="509"/>
      <c r="AA701" s="509"/>
      <c r="AB701" s="509"/>
      <c r="AC701" s="643"/>
      <c r="AD701" s="537"/>
      <c r="AE701" s="744"/>
      <c r="AF701" s="537"/>
      <c r="AG701" s="537"/>
      <c r="AH701" s="532"/>
      <c r="AI701" s="532"/>
      <c r="AJ701" s="532"/>
      <c r="AK701" s="532"/>
      <c r="AL701" s="532"/>
      <c r="AM701" s="532"/>
      <c r="AN701" s="532"/>
      <c r="AO701" s="532"/>
      <c r="AP701" s="532"/>
      <c r="AQ701" s="532"/>
      <c r="AR701" s="532"/>
    </row>
    <row r="702" spans="2:44" ht="21" x14ac:dyDescent="0.25">
      <c r="B702" s="8"/>
      <c r="C702" s="343"/>
      <c r="D702" s="638"/>
      <c r="E702" s="790"/>
      <c r="F702" s="4"/>
      <c r="G702" s="4"/>
      <c r="K702" s="516"/>
      <c r="L702" s="516"/>
      <c r="M702" s="535"/>
      <c r="N702" s="790"/>
      <c r="O702" s="4"/>
      <c r="P702" s="765"/>
      <c r="Q702" s="807"/>
      <c r="R702" s="537"/>
      <c r="S702" s="807"/>
      <c r="T702" s="537"/>
      <c r="U702" s="509"/>
      <c r="W702" s="531"/>
      <c r="X702" s="509"/>
      <c r="Y702" s="509"/>
      <c r="Z702" s="509"/>
      <c r="AA702" s="509"/>
      <c r="AB702" s="509"/>
      <c r="AC702" s="643"/>
      <c r="AD702" s="744"/>
      <c r="AE702" s="744"/>
      <c r="AF702" s="537"/>
      <c r="AG702" s="537"/>
      <c r="AH702" s="532"/>
      <c r="AI702" s="532"/>
      <c r="AJ702" s="532"/>
      <c r="AK702" s="532"/>
      <c r="AL702" s="532"/>
      <c r="AM702" s="532"/>
      <c r="AN702" s="532"/>
      <c r="AO702" s="532"/>
      <c r="AP702" s="532"/>
      <c r="AQ702" s="532"/>
      <c r="AR702" s="532"/>
    </row>
    <row r="703" spans="2:44" x14ac:dyDescent="0.25">
      <c r="B703" s="8"/>
      <c r="C703" s="343"/>
      <c r="D703" s="638"/>
      <c r="E703" s="790"/>
      <c r="F703" s="4"/>
      <c r="G703" s="4"/>
      <c r="K703" s="516"/>
      <c r="L703" s="516"/>
      <c r="M703" s="535"/>
      <c r="N703" s="790"/>
      <c r="O703" s="4"/>
      <c r="P703" s="532"/>
      <c r="Q703" s="473"/>
      <c r="R703" s="538"/>
      <c r="S703" s="473"/>
      <c r="T703" s="538"/>
      <c r="U703" s="381"/>
      <c r="W703" s="531"/>
      <c r="X703" s="381"/>
      <c r="Y703" s="381"/>
      <c r="Z703" s="381"/>
      <c r="AA703" s="381"/>
      <c r="AB703" s="381"/>
      <c r="AC703" s="381"/>
      <c r="AD703" s="538"/>
      <c r="AE703" s="538"/>
      <c r="AF703" s="538"/>
      <c r="AG703" s="538"/>
      <c r="AH703" s="532"/>
      <c r="AI703" s="532"/>
      <c r="AJ703" s="532"/>
      <c r="AK703" s="532"/>
      <c r="AL703" s="532"/>
      <c r="AM703" s="532"/>
      <c r="AN703" s="532"/>
      <c r="AO703" s="532"/>
      <c r="AP703" s="532"/>
      <c r="AQ703" s="532"/>
      <c r="AR703" s="532"/>
    </row>
    <row r="704" spans="2:44" x14ac:dyDescent="0.25">
      <c r="B704" s="8"/>
      <c r="C704" s="343"/>
      <c r="D704" s="535"/>
      <c r="E704" s="790"/>
      <c r="F704" s="4"/>
      <c r="G704" s="4"/>
      <c r="K704" s="516"/>
      <c r="L704" s="516"/>
      <c r="M704" s="535"/>
      <c r="N704" s="790"/>
      <c r="O704" s="4"/>
      <c r="P704" s="532"/>
      <c r="Q704" s="806"/>
      <c r="R704" s="769"/>
      <c r="S704" s="806"/>
      <c r="T704" s="536"/>
      <c r="U704" s="508"/>
      <c r="W704" s="531"/>
      <c r="X704" s="642"/>
      <c r="Y704" s="507"/>
      <c r="Z704" s="507"/>
      <c r="AA704" s="508"/>
      <c r="AB704" s="508"/>
      <c r="AC704" s="4"/>
      <c r="AD704" s="532"/>
      <c r="AE704" s="532"/>
      <c r="AF704" s="536"/>
      <c r="AG704" s="536"/>
      <c r="AH704" s="532"/>
      <c r="AI704" s="532"/>
      <c r="AJ704" s="532"/>
      <c r="AK704" s="532"/>
      <c r="AL704" s="532"/>
      <c r="AM704" s="532"/>
      <c r="AN704" s="532"/>
      <c r="AO704" s="532"/>
      <c r="AP704" s="532"/>
      <c r="AQ704" s="532"/>
      <c r="AR704" s="532"/>
    </row>
    <row r="705" spans="2:44" ht="21" x14ac:dyDescent="0.25">
      <c r="B705" s="8"/>
      <c r="C705" s="340"/>
      <c r="D705" s="638"/>
      <c r="E705" s="788"/>
      <c r="F705" s="4"/>
      <c r="G705" s="4"/>
      <c r="K705" s="505"/>
      <c r="L705" s="504"/>
      <c r="M705" s="772"/>
      <c r="N705" s="788"/>
      <c r="O705" s="4"/>
      <c r="P705" s="766"/>
      <c r="Q705" s="806"/>
      <c r="R705" s="536"/>
      <c r="S705" s="806"/>
      <c r="T705" s="536"/>
      <c r="U705" s="508"/>
      <c r="W705" s="531"/>
      <c r="X705" s="508"/>
      <c r="Y705" s="508"/>
      <c r="Z705" s="507"/>
      <c r="AA705" s="508"/>
      <c r="AB705" s="508"/>
      <c r="AC705" s="508"/>
      <c r="AD705" s="536"/>
      <c r="AE705" s="536"/>
      <c r="AF705" s="536"/>
      <c r="AG705" s="536"/>
      <c r="AH705" s="532"/>
      <c r="AI705" s="532"/>
      <c r="AJ705" s="532"/>
      <c r="AK705" s="532"/>
      <c r="AL705" s="532"/>
      <c r="AM705" s="532"/>
      <c r="AN705" s="532"/>
      <c r="AO705" s="532"/>
      <c r="AP705" s="532"/>
      <c r="AQ705" s="532"/>
      <c r="AR705" s="532"/>
    </row>
    <row r="706" spans="2:44" ht="21" x14ac:dyDescent="0.25">
      <c r="B706" s="8"/>
      <c r="C706" s="343"/>
      <c r="D706" s="638"/>
      <c r="E706" s="789"/>
      <c r="F706" s="4"/>
      <c r="G706" s="4"/>
      <c r="K706" s="504"/>
      <c r="L706" s="504"/>
      <c r="M706" s="638"/>
      <c r="N706" s="789"/>
      <c r="O706" s="4"/>
      <c r="P706" s="765"/>
      <c r="Q706" s="807"/>
      <c r="R706" s="537"/>
      <c r="S706" s="807"/>
      <c r="T706" s="537"/>
      <c r="U706" s="509"/>
      <c r="W706" s="531"/>
      <c r="X706" s="509"/>
      <c r="Y706" s="509"/>
      <c r="Z706" s="509"/>
      <c r="AA706" s="509"/>
      <c r="AB706" s="509"/>
      <c r="AC706" s="643"/>
      <c r="AD706" s="744"/>
      <c r="AE706" s="744"/>
      <c r="AF706" s="537"/>
      <c r="AG706" s="537"/>
      <c r="AH706" s="532"/>
      <c r="AI706" s="532"/>
      <c r="AJ706" s="532"/>
      <c r="AK706" s="532"/>
      <c r="AL706" s="532"/>
      <c r="AM706" s="532"/>
      <c r="AN706" s="532"/>
      <c r="AO706" s="532"/>
      <c r="AP706" s="532"/>
      <c r="AQ706" s="532"/>
      <c r="AR706" s="532"/>
    </row>
    <row r="707" spans="2:44" ht="21" x14ac:dyDescent="0.25">
      <c r="B707" s="8"/>
      <c r="C707" s="342"/>
      <c r="D707" s="638"/>
      <c r="E707" s="789"/>
      <c r="F707" s="4"/>
      <c r="G707" s="4"/>
      <c r="K707" s="504"/>
      <c r="L707" s="504"/>
      <c r="M707" s="638"/>
      <c r="N707" s="789"/>
      <c r="O707" s="4"/>
      <c r="P707" s="765"/>
      <c r="Q707" s="807"/>
      <c r="R707" s="537"/>
      <c r="S707" s="807"/>
      <c r="T707" s="537"/>
      <c r="U707" s="509"/>
      <c r="W707" s="531"/>
      <c r="X707" s="509"/>
      <c r="Y707" s="509"/>
      <c r="Z707" s="509"/>
      <c r="AA707" s="509"/>
      <c r="AB707" s="509"/>
      <c r="AC707" s="643"/>
      <c r="AD707" s="537"/>
      <c r="AE707" s="744"/>
      <c r="AF707" s="537"/>
      <c r="AG707" s="537"/>
      <c r="AH707" s="532"/>
      <c r="AI707" s="532"/>
      <c r="AJ707" s="532"/>
      <c r="AK707" s="532"/>
      <c r="AL707" s="532"/>
      <c r="AM707" s="532"/>
      <c r="AN707" s="532"/>
      <c r="AO707" s="532"/>
      <c r="AP707" s="532"/>
      <c r="AQ707" s="532"/>
      <c r="AR707" s="532"/>
    </row>
    <row r="708" spans="2:44" ht="21" x14ac:dyDescent="0.25">
      <c r="B708" s="8"/>
      <c r="C708" s="343"/>
      <c r="D708" s="638"/>
      <c r="E708" s="789"/>
      <c r="F708" s="4"/>
      <c r="G708" s="4"/>
      <c r="K708" s="638"/>
      <c r="L708" s="639"/>
      <c r="M708" s="772"/>
      <c r="N708" s="788"/>
      <c r="O708" s="4"/>
      <c r="P708" s="765"/>
      <c r="Q708" s="807"/>
      <c r="R708" s="537"/>
      <c r="S708" s="807"/>
      <c r="T708" s="537"/>
      <c r="U708" s="509"/>
      <c r="W708" s="531"/>
      <c r="X708" s="509"/>
      <c r="Y708" s="509"/>
      <c r="Z708" s="509"/>
      <c r="AA708" s="509"/>
      <c r="AB708" s="509"/>
      <c r="AC708" s="643"/>
      <c r="AD708" s="744"/>
      <c r="AE708" s="744"/>
      <c r="AF708" s="744"/>
      <c r="AG708" s="537"/>
      <c r="AH708" s="532"/>
      <c r="AI708" s="532"/>
      <c r="AJ708" s="532"/>
      <c r="AK708" s="532"/>
      <c r="AL708" s="532"/>
      <c r="AM708" s="532"/>
      <c r="AN708" s="532"/>
      <c r="AO708" s="532"/>
      <c r="AP708" s="532"/>
      <c r="AQ708" s="532"/>
      <c r="AR708" s="532"/>
    </row>
    <row r="709" spans="2:44" ht="21" x14ac:dyDescent="0.25">
      <c r="B709" s="8"/>
      <c r="C709" s="343"/>
      <c r="D709" s="535"/>
      <c r="E709" s="790"/>
      <c r="F709" s="4"/>
      <c r="G709" s="4"/>
      <c r="K709" s="516"/>
      <c r="L709" s="641"/>
      <c r="M709" s="535"/>
      <c r="N709" s="790"/>
      <c r="O709" s="4"/>
      <c r="P709" s="765"/>
      <c r="Q709" s="807"/>
      <c r="R709" s="537"/>
      <c r="S709" s="807"/>
      <c r="T709" s="537"/>
      <c r="U709" s="509"/>
      <c r="W709" s="531"/>
      <c r="X709" s="509"/>
      <c r="Y709" s="509"/>
      <c r="Z709" s="509"/>
      <c r="AA709" s="509"/>
      <c r="AB709" s="509"/>
      <c r="AC709" s="643"/>
      <c r="AD709" s="537"/>
      <c r="AE709" s="744"/>
      <c r="AF709" s="537"/>
      <c r="AG709" s="537"/>
      <c r="AH709" s="532"/>
      <c r="AI709" s="532"/>
      <c r="AJ709" s="532"/>
      <c r="AK709" s="532"/>
      <c r="AL709" s="532"/>
      <c r="AM709" s="532"/>
      <c r="AN709" s="532"/>
      <c r="AO709" s="532"/>
      <c r="AP709" s="532"/>
      <c r="AQ709" s="532"/>
      <c r="AR709" s="532"/>
    </row>
    <row r="710" spans="2:44" ht="21" x14ac:dyDescent="0.25">
      <c r="B710" s="8"/>
      <c r="C710" s="343"/>
      <c r="D710" s="535"/>
      <c r="E710" s="790"/>
      <c r="F710" s="4"/>
      <c r="G710" s="4"/>
      <c r="K710" s="516"/>
      <c r="L710" s="641"/>
      <c r="M710" s="535"/>
      <c r="N710" s="790"/>
      <c r="O710" s="4"/>
      <c r="P710" s="765"/>
      <c r="Q710" s="807"/>
      <c r="R710" s="537"/>
      <c r="S710" s="807"/>
      <c r="T710" s="537"/>
      <c r="U710" s="509"/>
      <c r="W710" s="531"/>
      <c r="X710" s="509"/>
      <c r="Y710" s="509"/>
      <c r="Z710" s="509"/>
      <c r="AA710" s="509"/>
      <c r="AB710" s="509"/>
      <c r="AC710" s="643"/>
      <c r="AD710" s="537"/>
      <c r="AE710" s="744"/>
      <c r="AF710" s="537"/>
      <c r="AG710" s="537"/>
      <c r="AH710" s="532"/>
      <c r="AI710" s="532"/>
      <c r="AJ710" s="532"/>
      <c r="AK710" s="532"/>
      <c r="AL710" s="532"/>
      <c r="AM710" s="532"/>
      <c r="AN710" s="532"/>
      <c r="AO710" s="532"/>
      <c r="AP710" s="532"/>
      <c r="AQ710" s="532"/>
      <c r="AR710" s="532"/>
    </row>
    <row r="711" spans="2:44" ht="21" x14ac:dyDescent="0.25">
      <c r="B711" s="8"/>
      <c r="C711" s="343"/>
      <c r="D711" s="535"/>
      <c r="E711" s="790"/>
      <c r="F711" s="4"/>
      <c r="G711" s="4"/>
      <c r="K711" s="516"/>
      <c r="L711" s="516"/>
      <c r="M711" s="535"/>
      <c r="N711" s="790"/>
      <c r="O711" s="4"/>
      <c r="P711" s="765"/>
      <c r="Q711" s="807"/>
      <c r="R711" s="537"/>
      <c r="S711" s="807"/>
      <c r="T711" s="537"/>
      <c r="U711" s="509"/>
      <c r="W711" s="531"/>
      <c r="X711" s="509"/>
      <c r="Y711" s="509"/>
      <c r="Z711" s="509"/>
      <c r="AA711" s="509"/>
      <c r="AB711" s="509"/>
      <c r="AC711" s="643"/>
      <c r="AD711" s="537"/>
      <c r="AE711" s="744"/>
      <c r="AF711" s="744"/>
      <c r="AG711" s="537"/>
      <c r="AH711" s="532"/>
      <c r="AI711" s="532"/>
      <c r="AJ711" s="532"/>
      <c r="AK711" s="532"/>
      <c r="AL711" s="532"/>
      <c r="AM711" s="532"/>
      <c r="AN711" s="532"/>
      <c r="AO711" s="532"/>
      <c r="AP711" s="532"/>
      <c r="AQ711" s="532"/>
      <c r="AR711" s="532"/>
    </row>
    <row r="712" spans="2:44" ht="21" x14ac:dyDescent="0.25">
      <c r="B712" s="8"/>
      <c r="C712" s="343"/>
      <c r="D712" s="535"/>
      <c r="E712" s="790"/>
      <c r="F712" s="4"/>
      <c r="G712" s="4"/>
      <c r="K712" s="516"/>
      <c r="L712" s="641"/>
      <c r="M712" s="535"/>
      <c r="N712" s="790"/>
      <c r="O712" s="4"/>
      <c r="P712" s="765"/>
      <c r="Q712" s="807"/>
      <c r="R712" s="537"/>
      <c r="S712" s="807"/>
      <c r="T712" s="537"/>
      <c r="U712" s="509"/>
      <c r="W712" s="531"/>
      <c r="X712" s="509"/>
      <c r="Y712" s="509"/>
      <c r="Z712" s="509"/>
      <c r="AA712" s="509"/>
      <c r="AB712" s="509"/>
      <c r="AC712" s="643"/>
      <c r="AD712" s="537"/>
      <c r="AE712" s="744"/>
      <c r="AF712" s="537"/>
      <c r="AG712" s="537"/>
      <c r="AH712" s="532"/>
      <c r="AI712" s="532"/>
      <c r="AJ712" s="532"/>
      <c r="AK712" s="532"/>
      <c r="AL712" s="532"/>
      <c r="AM712" s="532"/>
      <c r="AN712" s="532"/>
      <c r="AO712" s="532"/>
      <c r="AP712" s="532"/>
      <c r="AQ712" s="532"/>
      <c r="AR712" s="532"/>
    </row>
    <row r="713" spans="2:44" ht="21" x14ac:dyDescent="0.25">
      <c r="B713" s="8"/>
      <c r="C713" s="343"/>
      <c r="D713" s="638"/>
      <c r="E713" s="789"/>
      <c r="F713" s="4"/>
      <c r="G713" s="4"/>
      <c r="K713" s="640"/>
      <c r="L713" s="640"/>
      <c r="M713" s="638"/>
      <c r="N713" s="789"/>
      <c r="O713" s="4"/>
      <c r="P713" s="765"/>
      <c r="Q713" s="807"/>
      <c r="R713" s="537"/>
      <c r="S713" s="807"/>
      <c r="T713" s="537"/>
      <c r="U713" s="509"/>
      <c r="W713" s="531"/>
      <c r="X713" s="509"/>
      <c r="Y713" s="509"/>
      <c r="Z713" s="509"/>
      <c r="AA713" s="509"/>
      <c r="AB713" s="509"/>
      <c r="AC713" s="643"/>
      <c r="AD713" s="537"/>
      <c r="AE713" s="744"/>
      <c r="AF713" s="537"/>
      <c r="AG713" s="537"/>
      <c r="AH713" s="532"/>
      <c r="AI713" s="532"/>
      <c r="AJ713" s="532"/>
      <c r="AK713" s="532"/>
      <c r="AL713" s="532"/>
      <c r="AM713" s="532"/>
      <c r="AN713" s="532"/>
      <c r="AO713" s="532"/>
      <c r="AP713" s="532"/>
      <c r="AQ713" s="532"/>
      <c r="AR713" s="532"/>
    </row>
    <row r="714" spans="2:44" ht="21" x14ac:dyDescent="0.25">
      <c r="B714" s="8"/>
      <c r="C714" s="5"/>
      <c r="D714" s="532"/>
      <c r="E714" s="448"/>
      <c r="F714" s="4"/>
      <c r="G714" s="4"/>
      <c r="H714" s="829"/>
      <c r="I714" s="532"/>
      <c r="J714" s="417"/>
      <c r="K714" s="4"/>
      <c r="L714" s="4"/>
      <c r="M714" s="532"/>
      <c r="N714" s="448"/>
      <c r="O714" s="4"/>
      <c r="P714" s="765"/>
      <c r="Q714" s="807"/>
      <c r="R714" s="537"/>
      <c r="S714" s="807"/>
      <c r="T714" s="537"/>
      <c r="U714" s="509"/>
      <c r="W714" s="531"/>
      <c r="X714" s="509"/>
      <c r="Y714" s="509"/>
      <c r="Z714" s="509"/>
      <c r="AA714" s="509"/>
      <c r="AB714" s="509"/>
      <c r="AC714" s="643"/>
      <c r="AD714" s="744"/>
      <c r="AE714" s="744"/>
      <c r="AF714" s="537"/>
      <c r="AG714" s="537"/>
      <c r="AH714" s="532"/>
      <c r="AI714" s="532"/>
      <c r="AJ714" s="532"/>
      <c r="AK714" s="532"/>
      <c r="AL714" s="532"/>
      <c r="AM714" s="532"/>
      <c r="AN714" s="532"/>
      <c r="AO714" s="532"/>
      <c r="AP714" s="532"/>
      <c r="AQ714" s="532"/>
      <c r="AR714" s="532"/>
    </row>
    <row r="715" spans="2:44" ht="18.75" x14ac:dyDescent="0.25">
      <c r="B715" s="8"/>
      <c r="C715" s="337"/>
      <c r="D715" s="532"/>
      <c r="E715" s="448"/>
      <c r="F715" s="4"/>
      <c r="G715" s="4"/>
      <c r="H715" s="829"/>
      <c r="I715" s="532"/>
      <c r="J715" s="417"/>
      <c r="K715" s="4"/>
      <c r="L715" s="4"/>
      <c r="M715" s="532"/>
      <c r="N715" s="791"/>
      <c r="O715" s="4"/>
      <c r="P715" s="532"/>
      <c r="Q715" s="473"/>
      <c r="R715" s="538"/>
      <c r="S715" s="473"/>
      <c r="T715" s="538"/>
      <c r="U715" s="381"/>
      <c r="W715" s="531"/>
      <c r="X715" s="381"/>
      <c r="Y715" s="381"/>
      <c r="Z715" s="381"/>
      <c r="AA715" s="381"/>
      <c r="AB715" s="381"/>
      <c r="AC715" s="381"/>
      <c r="AD715" s="538"/>
      <c r="AE715" s="538"/>
      <c r="AF715" s="538"/>
      <c r="AG715" s="538"/>
      <c r="AH715" s="532"/>
      <c r="AI715" s="532"/>
      <c r="AJ715" s="532"/>
      <c r="AK715" s="532"/>
      <c r="AL715" s="532"/>
      <c r="AM715" s="532"/>
      <c r="AN715" s="532"/>
      <c r="AO715" s="532"/>
      <c r="AP715" s="532"/>
      <c r="AQ715" s="532"/>
      <c r="AR715" s="532"/>
    </row>
    <row r="716" spans="2:44" ht="18.75" x14ac:dyDescent="0.25">
      <c r="B716" s="8"/>
      <c r="C716" s="337"/>
      <c r="D716" s="532"/>
      <c r="E716" s="448"/>
      <c r="F716" s="362"/>
      <c r="G716" s="4"/>
      <c r="H716" s="829"/>
      <c r="I716" s="532"/>
      <c r="J716" s="417"/>
      <c r="K716" s="4"/>
      <c r="L716" s="4"/>
      <c r="M716" s="532"/>
      <c r="N716" s="417"/>
      <c r="O716" s="4"/>
      <c r="P716" s="532"/>
      <c r="Q716" s="806"/>
      <c r="R716" s="769"/>
      <c r="S716" s="806"/>
      <c r="T716" s="536"/>
      <c r="U716" s="508"/>
      <c r="W716" s="531"/>
      <c r="X716" s="642"/>
      <c r="Y716" s="507"/>
      <c r="Z716" s="507"/>
      <c r="AA716" s="508"/>
      <c r="AB716" s="508"/>
      <c r="AC716" s="4"/>
      <c r="AD716" s="532"/>
      <c r="AE716" s="532"/>
      <c r="AF716" s="536"/>
      <c r="AG716" s="536"/>
      <c r="AH716" s="532"/>
      <c r="AI716" s="532"/>
      <c r="AJ716" s="532"/>
      <c r="AK716" s="532"/>
      <c r="AL716" s="532"/>
      <c r="AM716" s="532"/>
      <c r="AN716" s="532"/>
      <c r="AO716" s="532"/>
      <c r="AP716" s="532"/>
      <c r="AQ716" s="532"/>
      <c r="AR716" s="532"/>
    </row>
    <row r="717" spans="2:44" ht="15.75" x14ac:dyDescent="0.25">
      <c r="B717" s="8"/>
      <c r="C717" s="344"/>
      <c r="D717" s="532"/>
      <c r="E717" s="448"/>
      <c r="F717" s="4"/>
      <c r="G717" s="4"/>
      <c r="H717" s="829"/>
      <c r="I717" s="532"/>
      <c r="J717" s="417"/>
      <c r="K717" s="4"/>
      <c r="L717" s="4"/>
      <c r="M717" s="532"/>
      <c r="N717" s="792"/>
      <c r="O717" s="4"/>
      <c r="P717" s="532"/>
      <c r="Q717" s="806"/>
      <c r="R717" s="536"/>
      <c r="S717" s="806"/>
      <c r="T717" s="536"/>
      <c r="U717" s="508"/>
      <c r="W717" s="531"/>
      <c r="X717" s="508"/>
      <c r="Y717" s="508"/>
      <c r="Z717" s="507"/>
      <c r="AA717" s="508"/>
      <c r="AB717" s="508"/>
      <c r="AC717" s="508"/>
      <c r="AD717" s="536"/>
      <c r="AE717" s="536"/>
      <c r="AF717" s="536"/>
      <c r="AG717" s="536"/>
      <c r="AH717" s="532"/>
      <c r="AI717" s="532"/>
      <c r="AJ717" s="532"/>
      <c r="AK717" s="532"/>
      <c r="AL717" s="532"/>
      <c r="AM717" s="532"/>
      <c r="AN717" s="532"/>
      <c r="AO717" s="532"/>
      <c r="AP717" s="532"/>
      <c r="AQ717" s="532"/>
      <c r="AR717" s="532"/>
    </row>
    <row r="718" spans="2:44" ht="21" x14ac:dyDescent="0.25">
      <c r="B718" s="8"/>
      <c r="C718" s="345"/>
      <c r="D718" s="532"/>
      <c r="E718" s="417"/>
      <c r="F718" s="416"/>
      <c r="G718" s="416"/>
      <c r="H718" s="829"/>
      <c r="I718" s="532"/>
      <c r="J718" s="417"/>
      <c r="K718" s="416"/>
      <c r="L718" s="4"/>
      <c r="M718" s="532"/>
      <c r="N718" s="792"/>
      <c r="O718" s="4"/>
      <c r="P718" s="765"/>
      <c r="Q718" s="807"/>
      <c r="R718" s="537"/>
      <c r="S718" s="807"/>
      <c r="T718" s="537"/>
      <c r="U718" s="509"/>
      <c r="W718" s="531"/>
      <c r="X718" s="509"/>
      <c r="Y718" s="509"/>
      <c r="Z718" s="509"/>
      <c r="AA718" s="509"/>
      <c r="AB718" s="509"/>
      <c r="AC718" s="643"/>
      <c r="AD718" s="744"/>
      <c r="AE718" s="744"/>
      <c r="AF718" s="537"/>
      <c r="AG718" s="537"/>
      <c r="AH718" s="532"/>
      <c r="AI718" s="532"/>
      <c r="AJ718" s="532"/>
      <c r="AK718" s="532"/>
      <c r="AL718" s="532"/>
      <c r="AM718" s="532"/>
      <c r="AN718" s="532"/>
      <c r="AO718" s="532"/>
      <c r="AP718" s="532"/>
      <c r="AQ718" s="532"/>
      <c r="AR718" s="532"/>
    </row>
    <row r="719" spans="2:44" ht="21" x14ac:dyDescent="0.25">
      <c r="B719" s="8"/>
      <c r="C719" s="345"/>
      <c r="D719" s="532"/>
      <c r="E719" s="448"/>
      <c r="F719" s="4"/>
      <c r="G719" s="4"/>
      <c r="H719" s="829"/>
      <c r="I719" s="532"/>
      <c r="J719" s="417"/>
      <c r="K719" s="4"/>
      <c r="L719" s="416"/>
      <c r="M719" s="532"/>
      <c r="N719" s="792"/>
      <c r="O719" s="4"/>
      <c r="P719" s="765"/>
      <c r="Q719" s="807"/>
      <c r="R719" s="537"/>
      <c r="S719" s="807"/>
      <c r="T719" s="537"/>
      <c r="U719" s="509"/>
      <c r="W719" s="531"/>
      <c r="X719" s="509"/>
      <c r="Y719" s="509"/>
      <c r="Z719" s="509"/>
      <c r="AA719" s="509"/>
      <c r="AB719" s="509"/>
      <c r="AC719" s="643"/>
      <c r="AD719" s="537"/>
      <c r="AE719" s="744"/>
      <c r="AF719" s="537"/>
      <c r="AG719" s="537"/>
      <c r="AH719" s="532"/>
      <c r="AI719" s="532"/>
      <c r="AJ719" s="532"/>
      <c r="AK719" s="532"/>
      <c r="AL719" s="532"/>
      <c r="AM719" s="532"/>
      <c r="AN719" s="532"/>
      <c r="AO719" s="532"/>
      <c r="AP719" s="532"/>
      <c r="AQ719" s="532"/>
      <c r="AR719" s="532"/>
    </row>
    <row r="720" spans="2:44" ht="21" x14ac:dyDescent="0.25">
      <c r="B720" s="8"/>
      <c r="C720" s="345"/>
      <c r="D720" s="532"/>
      <c r="E720" s="448"/>
      <c r="F720" s="4"/>
      <c r="G720" s="4"/>
      <c r="H720" s="829"/>
      <c r="I720" s="532"/>
      <c r="J720" s="417"/>
      <c r="K720" s="4"/>
      <c r="L720" s="4"/>
      <c r="M720" s="532"/>
      <c r="N720" s="792"/>
      <c r="O720" s="4"/>
      <c r="P720" s="765"/>
      <c r="Q720" s="807"/>
      <c r="R720" s="537"/>
      <c r="S720" s="807"/>
      <c r="T720" s="537"/>
      <c r="U720" s="509"/>
      <c r="W720" s="531"/>
      <c r="X720" s="509"/>
      <c r="Y720" s="509"/>
      <c r="Z720" s="509"/>
      <c r="AA720" s="509"/>
      <c r="AB720" s="509"/>
      <c r="AC720" s="643"/>
      <c r="AD720" s="744"/>
      <c r="AE720" s="744"/>
      <c r="AF720" s="744"/>
      <c r="AG720" s="537"/>
      <c r="AH720" s="532"/>
      <c r="AI720" s="532"/>
      <c r="AJ720" s="532"/>
      <c r="AK720" s="532"/>
      <c r="AL720" s="532"/>
      <c r="AM720" s="532"/>
      <c r="AN720" s="532"/>
      <c r="AO720" s="532"/>
      <c r="AP720" s="532"/>
      <c r="AQ720" s="532"/>
      <c r="AR720" s="532"/>
    </row>
    <row r="721" spans="2:44" ht="21" x14ac:dyDescent="0.25">
      <c r="B721" s="8"/>
      <c r="C721" s="345"/>
      <c r="D721" s="532"/>
      <c r="E721" s="448"/>
      <c r="F721" s="4"/>
      <c r="G721" s="4"/>
      <c r="H721" s="829"/>
      <c r="I721" s="532"/>
      <c r="J721" s="417"/>
      <c r="K721" s="4"/>
      <c r="L721" s="4"/>
      <c r="M721" s="532"/>
      <c r="N721" s="792"/>
      <c r="O721" s="4"/>
      <c r="P721" s="765"/>
      <c r="Q721" s="807"/>
      <c r="R721" s="537"/>
      <c r="S721" s="807"/>
      <c r="T721" s="537"/>
      <c r="U721" s="509"/>
      <c r="W721" s="531"/>
      <c r="X721" s="509"/>
      <c r="Y721" s="509"/>
      <c r="Z721" s="509"/>
      <c r="AA721" s="509"/>
      <c r="AB721" s="509"/>
      <c r="AC721" s="643"/>
      <c r="AD721" s="537"/>
      <c r="AE721" s="744"/>
      <c r="AF721" s="537"/>
      <c r="AG721" s="537"/>
      <c r="AH721" s="532"/>
      <c r="AI721" s="532"/>
      <c r="AJ721" s="532"/>
      <c r="AK721" s="532"/>
      <c r="AL721" s="532"/>
      <c r="AM721" s="532"/>
      <c r="AN721" s="532"/>
      <c r="AO721" s="532"/>
      <c r="AP721" s="532"/>
      <c r="AQ721" s="532"/>
      <c r="AR721" s="532"/>
    </row>
    <row r="722" spans="2:44" ht="21" x14ac:dyDescent="0.25">
      <c r="B722" s="8"/>
      <c r="C722" s="345"/>
      <c r="D722" s="532"/>
      <c r="E722" s="417"/>
      <c r="F722" s="4"/>
      <c r="G722" s="4"/>
      <c r="H722" s="829"/>
      <c r="I722" s="532"/>
      <c r="J722" s="417"/>
      <c r="K722" s="4"/>
      <c r="L722" s="4"/>
      <c r="M722" s="532"/>
      <c r="N722" s="792"/>
      <c r="O722" s="4"/>
      <c r="P722" s="765"/>
      <c r="Q722" s="807"/>
      <c r="R722" s="537"/>
      <c r="S722" s="807"/>
      <c r="T722" s="537"/>
      <c r="U722" s="509"/>
      <c r="W722" s="531"/>
      <c r="X722" s="509"/>
      <c r="Y722" s="509"/>
      <c r="Z722" s="509"/>
      <c r="AA722" s="509"/>
      <c r="AB722" s="509"/>
      <c r="AC722" s="643"/>
      <c r="AD722" s="537"/>
      <c r="AE722" s="744"/>
      <c r="AF722" s="537"/>
      <c r="AG722" s="537"/>
      <c r="AH722" s="532"/>
      <c r="AI722" s="532"/>
      <c r="AJ722" s="532"/>
      <c r="AK722" s="532"/>
      <c r="AL722" s="532"/>
      <c r="AM722" s="532"/>
      <c r="AN722" s="532"/>
      <c r="AO722" s="532"/>
      <c r="AP722" s="532"/>
      <c r="AQ722" s="532"/>
      <c r="AR722" s="532"/>
    </row>
    <row r="723" spans="2:44" ht="21" x14ac:dyDescent="0.25">
      <c r="B723" s="8"/>
      <c r="C723" s="344"/>
      <c r="D723" s="532"/>
      <c r="E723" s="448"/>
      <c r="F723" s="4"/>
      <c r="G723" s="4"/>
      <c r="H723" s="829"/>
      <c r="I723" s="532"/>
      <c r="J723" s="417"/>
      <c r="K723" s="4"/>
      <c r="L723" s="4"/>
      <c r="M723" s="532"/>
      <c r="N723" s="792"/>
      <c r="O723" s="4"/>
      <c r="P723" s="765"/>
      <c r="Q723" s="807"/>
      <c r="R723" s="537"/>
      <c r="S723" s="807"/>
      <c r="T723" s="537"/>
      <c r="U723" s="509"/>
      <c r="W723" s="531"/>
      <c r="X723" s="509"/>
      <c r="Y723" s="509"/>
      <c r="Z723" s="509"/>
      <c r="AA723" s="509"/>
      <c r="AB723" s="509"/>
      <c r="AC723" s="643"/>
      <c r="AD723" s="537"/>
      <c r="AE723" s="744"/>
      <c r="AF723" s="744"/>
      <c r="AG723" s="537"/>
      <c r="AH723" s="532"/>
      <c r="AI723" s="532"/>
      <c r="AJ723" s="532"/>
      <c r="AK723" s="532"/>
      <c r="AL723" s="532"/>
      <c r="AM723" s="532"/>
      <c r="AN723" s="532"/>
      <c r="AO723" s="532"/>
      <c r="AP723" s="532"/>
      <c r="AQ723" s="532"/>
      <c r="AR723" s="532"/>
    </row>
    <row r="724" spans="2:44" ht="21" x14ac:dyDescent="0.25">
      <c r="B724" s="8"/>
      <c r="C724" s="345"/>
      <c r="D724" s="532"/>
      <c r="E724" s="417"/>
      <c r="F724" s="4"/>
      <c r="G724" s="4"/>
      <c r="H724" s="829"/>
      <c r="I724" s="532"/>
      <c r="J724" s="417"/>
      <c r="K724" s="416"/>
      <c r="L724" s="4"/>
      <c r="M724" s="532"/>
      <c r="N724" s="792"/>
      <c r="O724" s="4"/>
      <c r="P724" s="765"/>
      <c r="Q724" s="807"/>
      <c r="R724" s="537"/>
      <c r="S724" s="807"/>
      <c r="T724" s="537"/>
      <c r="U724" s="509"/>
      <c r="W724" s="531"/>
      <c r="X724" s="509"/>
      <c r="Y724" s="509"/>
      <c r="Z724" s="509"/>
      <c r="AA724" s="509"/>
      <c r="AB724" s="509"/>
      <c r="AC724" s="643"/>
      <c r="AD724" s="537"/>
      <c r="AE724" s="744"/>
      <c r="AF724" s="537"/>
      <c r="AG724" s="537"/>
      <c r="AH724" s="532"/>
      <c r="AI724" s="532"/>
      <c r="AJ724" s="532"/>
      <c r="AK724" s="532"/>
      <c r="AL724" s="532"/>
      <c r="AM724" s="532"/>
      <c r="AN724" s="532"/>
      <c r="AO724" s="532"/>
      <c r="AP724" s="532"/>
      <c r="AQ724" s="532"/>
      <c r="AR724" s="532"/>
    </row>
    <row r="725" spans="2:44" ht="21" x14ac:dyDescent="0.25">
      <c r="B725" s="8"/>
      <c r="C725" s="345"/>
      <c r="D725" s="532"/>
      <c r="E725" s="448"/>
      <c r="F725" s="4"/>
      <c r="G725" s="4"/>
      <c r="H725" s="829"/>
      <c r="I725" s="532"/>
      <c r="J725" s="417"/>
      <c r="K725" s="4"/>
      <c r="L725" s="416"/>
      <c r="M725" s="532"/>
      <c r="N725" s="792"/>
      <c r="O725" s="4"/>
      <c r="P725" s="765"/>
      <c r="Q725" s="807"/>
      <c r="R725" s="537"/>
      <c r="S725" s="807"/>
      <c r="T725" s="537"/>
      <c r="U725" s="509"/>
      <c r="W725" s="531"/>
      <c r="X725" s="509"/>
      <c r="Y725" s="509"/>
      <c r="Z725" s="509"/>
      <c r="AA725" s="509"/>
      <c r="AB725" s="509"/>
      <c r="AC725" s="643"/>
      <c r="AD725" s="537"/>
      <c r="AE725" s="744"/>
      <c r="AF725" s="537"/>
      <c r="AG725" s="537"/>
      <c r="AH725" s="532"/>
      <c r="AI725" s="532"/>
      <c r="AJ725" s="532"/>
      <c r="AK725" s="532"/>
      <c r="AL725" s="532"/>
      <c r="AM725" s="532"/>
      <c r="AN725" s="532"/>
      <c r="AO725" s="532"/>
      <c r="AP725" s="532"/>
      <c r="AQ725" s="532"/>
      <c r="AR725" s="532"/>
    </row>
    <row r="726" spans="2:44" ht="21" x14ac:dyDescent="0.25">
      <c r="B726" s="8"/>
      <c r="C726" s="345"/>
      <c r="D726" s="532"/>
      <c r="E726" s="448"/>
      <c r="F726" s="4"/>
      <c r="G726" s="4"/>
      <c r="H726" s="829"/>
      <c r="I726" s="532"/>
      <c r="J726" s="417"/>
      <c r="K726" s="4"/>
      <c r="L726" s="4"/>
      <c r="M726" s="532"/>
      <c r="N726" s="792"/>
      <c r="O726" s="4"/>
      <c r="P726" s="765"/>
      <c r="Q726" s="807"/>
      <c r="R726" s="537"/>
      <c r="S726" s="807"/>
      <c r="T726" s="537"/>
      <c r="U726" s="509"/>
      <c r="W726" s="531"/>
      <c r="X726" s="509"/>
      <c r="Y726" s="509"/>
      <c r="Z726" s="509"/>
      <c r="AA726" s="509"/>
      <c r="AB726" s="509"/>
      <c r="AC726" s="643"/>
      <c r="AD726" s="744"/>
      <c r="AE726" s="744"/>
      <c r="AF726" s="537"/>
      <c r="AG726" s="537"/>
      <c r="AH726" s="532"/>
      <c r="AI726" s="532"/>
      <c r="AJ726" s="532"/>
      <c r="AK726" s="532"/>
      <c r="AL726" s="532"/>
      <c r="AM726" s="532"/>
      <c r="AN726" s="532"/>
      <c r="AO726" s="532"/>
      <c r="AP726" s="532"/>
      <c r="AQ726" s="532"/>
      <c r="AR726" s="532"/>
    </row>
    <row r="727" spans="2:44" ht="15.75" x14ac:dyDescent="0.25">
      <c r="B727" s="8"/>
      <c r="C727" s="345"/>
      <c r="D727" s="532"/>
      <c r="E727" s="448"/>
      <c r="F727" s="4"/>
      <c r="G727" s="4"/>
      <c r="H727" s="829"/>
      <c r="I727" s="532"/>
      <c r="J727" s="417"/>
      <c r="K727" s="4"/>
      <c r="L727" s="4"/>
      <c r="M727" s="532"/>
      <c r="N727" s="792"/>
      <c r="O727" s="4"/>
      <c r="P727" s="638"/>
      <c r="Q727" s="417"/>
      <c r="R727" s="532"/>
      <c r="S727" s="417"/>
      <c r="T727" s="532"/>
      <c r="U727" s="405"/>
      <c r="W727" s="531"/>
      <c r="X727" s="405"/>
      <c r="Y727" s="405"/>
      <c r="Z727" s="405"/>
      <c r="AA727" s="405"/>
      <c r="AB727" s="405"/>
      <c r="AC727" s="405"/>
      <c r="AD727" s="532"/>
      <c r="AE727" s="532"/>
      <c r="AF727" s="532"/>
      <c r="AG727" s="532"/>
      <c r="AH727" s="532"/>
      <c r="AI727" s="532"/>
      <c r="AJ727" s="532"/>
      <c r="AK727" s="532"/>
      <c r="AL727" s="532"/>
      <c r="AM727" s="532"/>
      <c r="AN727" s="532"/>
      <c r="AO727" s="532"/>
      <c r="AP727" s="532"/>
      <c r="AQ727" s="532"/>
      <c r="AR727" s="532"/>
    </row>
    <row r="728" spans="2:44" ht="15.75" x14ac:dyDescent="0.25">
      <c r="B728" s="8"/>
      <c r="C728" s="345"/>
      <c r="D728" s="532"/>
      <c r="E728" s="448"/>
      <c r="F728" s="4"/>
      <c r="G728" s="4"/>
      <c r="H728" s="829"/>
      <c r="I728" s="532"/>
      <c r="J728" s="417"/>
      <c r="K728" s="4"/>
      <c r="L728" s="4"/>
      <c r="M728" s="532"/>
      <c r="N728" s="792"/>
      <c r="O728" s="4"/>
      <c r="P728" s="532"/>
      <c r="Q728" s="417"/>
      <c r="R728" s="532"/>
      <c r="S728" s="417"/>
      <c r="T728" s="532"/>
      <c r="U728" s="4"/>
      <c r="W728" s="531"/>
      <c r="X728" s="4"/>
      <c r="Y728" s="4"/>
      <c r="Z728" s="4"/>
      <c r="AA728" s="4"/>
      <c r="AB728" s="4"/>
      <c r="AC728" s="4"/>
      <c r="AD728" s="532"/>
      <c r="AE728" s="532"/>
      <c r="AF728" s="532"/>
      <c r="AG728" s="532"/>
      <c r="AH728" s="532"/>
      <c r="AI728" s="532"/>
      <c r="AJ728" s="532"/>
      <c r="AK728" s="532"/>
      <c r="AL728" s="532"/>
      <c r="AM728" s="532"/>
      <c r="AN728" s="532"/>
      <c r="AO728" s="532"/>
      <c r="AP728" s="532"/>
      <c r="AQ728" s="532"/>
      <c r="AR728" s="532"/>
    </row>
    <row r="729" spans="2:44" ht="15.75" x14ac:dyDescent="0.25">
      <c r="B729" s="8"/>
      <c r="C729" s="345"/>
      <c r="D729" s="532"/>
      <c r="E729" s="417"/>
      <c r="F729" s="4"/>
      <c r="G729" s="4"/>
      <c r="H729" s="829"/>
      <c r="I729" s="532"/>
      <c r="J729" s="417"/>
      <c r="K729" s="416"/>
      <c r="L729" s="416"/>
      <c r="M729" s="532"/>
      <c r="N729" s="448"/>
      <c r="O729" s="4"/>
      <c r="P729" s="532"/>
      <c r="Q729" s="417"/>
      <c r="R729" s="532"/>
      <c r="S729" s="417"/>
      <c r="T729" s="532"/>
      <c r="U729" s="4"/>
      <c r="W729" s="531"/>
      <c r="X729" s="4"/>
      <c r="Y729" s="4"/>
      <c r="Z729" s="4"/>
      <c r="AA729" s="4"/>
      <c r="AB729" s="4"/>
      <c r="AC729" s="4"/>
      <c r="AD729" s="532"/>
      <c r="AE729" s="532"/>
      <c r="AF729" s="532"/>
      <c r="AG729" s="532"/>
      <c r="AH729" s="532"/>
      <c r="AI729" s="532"/>
      <c r="AJ729" s="532"/>
      <c r="AK729" s="532"/>
      <c r="AL729" s="532"/>
      <c r="AM729" s="532"/>
      <c r="AN729" s="532"/>
      <c r="AO729" s="532"/>
      <c r="AP729" s="532"/>
      <c r="AQ729" s="532"/>
      <c r="AR729" s="532"/>
    </row>
    <row r="730" spans="2:44" x14ac:dyDescent="0.25">
      <c r="B730" s="8"/>
      <c r="C730" s="5"/>
      <c r="D730" s="532"/>
      <c r="E730" s="448"/>
      <c r="F730" s="4"/>
      <c r="G730" s="4"/>
      <c r="H730" s="829"/>
      <c r="I730" s="532"/>
      <c r="J730" s="417"/>
      <c r="K730" s="4"/>
      <c r="L730" s="4"/>
      <c r="M730" s="532"/>
      <c r="N730" s="448"/>
      <c r="O730" s="510"/>
      <c r="P730" s="767"/>
      <c r="Q730" s="417"/>
      <c r="R730" s="532"/>
      <c r="S730" s="417"/>
      <c r="T730" s="532"/>
      <c r="U730" s="4"/>
      <c r="W730" s="531"/>
      <c r="X730" s="4"/>
      <c r="Y730" s="4"/>
      <c r="Z730" s="4"/>
      <c r="AA730" s="4"/>
      <c r="AB730" s="4"/>
      <c r="AC730" s="4"/>
      <c r="AD730" s="532"/>
      <c r="AE730" s="532"/>
      <c r="AF730" s="532"/>
      <c r="AG730" s="532"/>
      <c r="AH730" s="532"/>
      <c r="AI730" s="532"/>
      <c r="AJ730" s="532"/>
      <c r="AK730" s="532"/>
      <c r="AL730" s="532"/>
      <c r="AM730" s="532"/>
      <c r="AN730" s="532"/>
      <c r="AO730" s="532"/>
      <c r="AP730" s="532"/>
      <c r="AQ730" s="532"/>
      <c r="AR730" s="532"/>
    </row>
    <row r="731" spans="2:44" x14ac:dyDescent="0.25">
      <c r="B731" s="8"/>
      <c r="C731" s="5"/>
      <c r="D731" s="532"/>
      <c r="E731" s="448"/>
      <c r="F731" s="4"/>
      <c r="G731" s="4"/>
      <c r="H731" s="829"/>
      <c r="I731" s="532"/>
      <c r="J731" s="417"/>
      <c r="K731" s="4"/>
      <c r="L731" s="4"/>
      <c r="M731" s="532"/>
      <c r="N731" s="448"/>
      <c r="O731" s="4"/>
      <c r="P731" s="532"/>
      <c r="Q731" s="417"/>
      <c r="R731" s="532"/>
      <c r="S731" s="417"/>
      <c r="T731" s="532"/>
      <c r="U731" s="4"/>
      <c r="W731" s="531"/>
      <c r="X731" s="4"/>
      <c r="Y731" s="4"/>
      <c r="Z731" s="4"/>
      <c r="AA731" s="4"/>
      <c r="AB731" s="4"/>
      <c r="AC731" s="4"/>
      <c r="AD731" s="532"/>
      <c r="AE731" s="532"/>
      <c r="AF731" s="532"/>
      <c r="AG731" s="532"/>
      <c r="AH731" s="532"/>
      <c r="AI731" s="532"/>
      <c r="AJ731" s="532"/>
      <c r="AK731" s="532"/>
      <c r="AL731" s="532"/>
      <c r="AM731" s="532"/>
      <c r="AN731" s="532"/>
      <c r="AO731" s="532"/>
      <c r="AP731" s="532"/>
      <c r="AQ731" s="532"/>
      <c r="AR731" s="532"/>
    </row>
    <row r="732" spans="2:44" x14ac:dyDescent="0.25">
      <c r="B732" s="8"/>
      <c r="C732" s="5"/>
      <c r="D732" s="532"/>
      <c r="E732" s="448"/>
      <c r="F732" s="4"/>
      <c r="G732" s="4"/>
      <c r="H732" s="829"/>
      <c r="I732" s="532"/>
      <c r="J732" s="417"/>
      <c r="K732" s="4"/>
      <c r="L732" s="4"/>
      <c r="M732" s="532"/>
      <c r="N732" s="448"/>
      <c r="O732" s="4"/>
      <c r="P732" s="532"/>
      <c r="Q732" s="417"/>
      <c r="R732" s="532"/>
      <c r="S732" s="417"/>
      <c r="T732" s="532"/>
      <c r="U732" s="4"/>
      <c r="W732" s="531"/>
      <c r="X732" s="4"/>
      <c r="Y732" s="4"/>
      <c r="Z732" s="4"/>
      <c r="AA732" s="4"/>
      <c r="AB732" s="4"/>
      <c r="AC732" s="4"/>
      <c r="AD732" s="532"/>
      <c r="AE732" s="532"/>
      <c r="AF732" s="532"/>
      <c r="AG732" s="532"/>
      <c r="AH732" s="532"/>
      <c r="AI732" s="532"/>
      <c r="AJ732" s="532"/>
      <c r="AK732" s="532"/>
      <c r="AL732" s="532"/>
      <c r="AM732" s="532"/>
      <c r="AN732" s="532"/>
      <c r="AO732" s="532"/>
      <c r="AP732" s="532"/>
      <c r="AQ732" s="532"/>
      <c r="AR732" s="532"/>
    </row>
    <row r="733" spans="2:44" x14ac:dyDescent="0.25">
      <c r="B733" s="8"/>
      <c r="C733" s="5"/>
      <c r="D733" s="532"/>
      <c r="E733" s="448"/>
      <c r="F733" s="4"/>
      <c r="G733" s="4"/>
      <c r="H733" s="829"/>
      <c r="I733" s="532"/>
      <c r="J733" s="417"/>
      <c r="K733" s="4"/>
      <c r="L733" s="4"/>
      <c r="M733" s="532"/>
      <c r="N733" s="448"/>
      <c r="O733" s="4"/>
      <c r="P733" s="532"/>
      <c r="Q733" s="417"/>
      <c r="R733" s="532"/>
      <c r="S733" s="417"/>
      <c r="T733" s="532"/>
      <c r="U733" s="4"/>
      <c r="W733" s="531"/>
      <c r="X733" s="4"/>
      <c r="Y733" s="4"/>
      <c r="Z733" s="4"/>
      <c r="AA733" s="4"/>
      <c r="AB733" s="4"/>
      <c r="AC733" s="4"/>
      <c r="AD733" s="532"/>
      <c r="AE733" s="532"/>
      <c r="AF733" s="532"/>
      <c r="AG733" s="532"/>
      <c r="AH733" s="532"/>
      <c r="AI733" s="532"/>
      <c r="AJ733" s="532"/>
      <c r="AK733" s="532"/>
      <c r="AL733" s="532"/>
      <c r="AM733" s="532"/>
      <c r="AN733" s="532"/>
      <c r="AO733" s="532"/>
      <c r="AP733" s="532"/>
      <c r="AQ733" s="532"/>
      <c r="AR733" s="532"/>
    </row>
    <row r="734" spans="2:44" x14ac:dyDescent="0.25">
      <c r="B734" s="8"/>
      <c r="O734" s="4"/>
      <c r="P734" s="532"/>
      <c r="Q734" s="417"/>
      <c r="R734" s="532"/>
      <c r="S734" s="417"/>
      <c r="T734" s="532"/>
      <c r="U734" s="4"/>
      <c r="W734" s="531"/>
      <c r="X734" s="4"/>
      <c r="Y734" s="4"/>
      <c r="Z734" s="4"/>
      <c r="AA734" s="4"/>
      <c r="AB734" s="4"/>
      <c r="AC734" s="4"/>
      <c r="AD734" s="532"/>
      <c r="AE734" s="532"/>
      <c r="AF734" s="532"/>
      <c r="AG734" s="532"/>
      <c r="AH734" s="532"/>
      <c r="AI734" s="532"/>
      <c r="AJ734" s="532"/>
      <c r="AK734" s="532"/>
      <c r="AL734" s="532"/>
      <c r="AM734" s="532"/>
      <c r="AN734" s="532"/>
      <c r="AO734" s="532"/>
      <c r="AP734" s="532"/>
      <c r="AQ734" s="532"/>
      <c r="AR734" s="532"/>
    </row>
    <row r="735" spans="2:44" x14ac:dyDescent="0.25">
      <c r="B735" s="8"/>
      <c r="O735" s="4"/>
      <c r="P735" s="532"/>
      <c r="Q735" s="417"/>
      <c r="R735" s="532"/>
      <c r="S735" s="417"/>
      <c r="T735" s="532"/>
      <c r="U735" s="4"/>
      <c r="W735" s="531"/>
      <c r="X735" s="4"/>
      <c r="Y735" s="4"/>
      <c r="Z735" s="4"/>
      <c r="AA735" s="4"/>
      <c r="AB735" s="4"/>
      <c r="AC735" s="4"/>
      <c r="AD735" s="532"/>
      <c r="AE735" s="532"/>
      <c r="AF735" s="532"/>
      <c r="AG735" s="532"/>
      <c r="AH735" s="532"/>
      <c r="AI735" s="532"/>
      <c r="AJ735" s="532"/>
      <c r="AK735" s="532"/>
      <c r="AL735" s="532"/>
      <c r="AM735" s="532"/>
      <c r="AN735" s="532"/>
      <c r="AO735" s="532"/>
      <c r="AP735" s="532"/>
      <c r="AQ735" s="532"/>
      <c r="AR735" s="532"/>
    </row>
    <row r="736" spans="2:44" x14ac:dyDescent="0.25">
      <c r="O736" s="4"/>
      <c r="P736" s="532"/>
      <c r="Q736" s="417"/>
      <c r="R736" s="532"/>
      <c r="S736" s="417"/>
      <c r="T736" s="532"/>
      <c r="U736" s="4"/>
      <c r="W736" s="531"/>
      <c r="X736" s="4"/>
      <c r="Y736" s="4"/>
      <c r="Z736" s="4"/>
      <c r="AA736" s="4"/>
      <c r="AB736" s="4"/>
      <c r="AC736" s="4"/>
      <c r="AD736" s="532"/>
      <c r="AE736" s="532"/>
      <c r="AF736" s="532"/>
      <c r="AG736" s="532"/>
      <c r="AH736" s="532"/>
      <c r="AI736" s="532"/>
      <c r="AJ736" s="532"/>
      <c r="AK736" s="532"/>
      <c r="AL736" s="532"/>
      <c r="AM736" s="532"/>
      <c r="AN736" s="532"/>
      <c r="AO736" s="532"/>
      <c r="AP736" s="532"/>
      <c r="AQ736" s="532"/>
      <c r="AR736" s="532"/>
    </row>
    <row r="737" spans="15:44" x14ac:dyDescent="0.25">
      <c r="O737" s="4"/>
      <c r="P737" s="532"/>
      <c r="Q737" s="417"/>
      <c r="R737" s="532"/>
      <c r="S737" s="417"/>
      <c r="T737" s="532"/>
      <c r="U737" s="4"/>
      <c r="W737" s="531"/>
      <c r="X737" s="4"/>
      <c r="Y737" s="4"/>
      <c r="Z737" s="4"/>
      <c r="AA737" s="4"/>
      <c r="AB737" s="4"/>
      <c r="AC737" s="4"/>
      <c r="AD737" s="532"/>
      <c r="AE737" s="532"/>
      <c r="AF737" s="532"/>
      <c r="AG737" s="532"/>
      <c r="AH737" s="532"/>
      <c r="AI737" s="532"/>
      <c r="AJ737" s="532"/>
      <c r="AK737" s="532"/>
      <c r="AL737" s="532"/>
      <c r="AM737" s="532"/>
      <c r="AN737" s="532"/>
      <c r="AO737" s="532"/>
      <c r="AP737" s="532"/>
      <c r="AQ737" s="532"/>
      <c r="AR737" s="532"/>
    </row>
  </sheetData>
  <sheetProtection algorithmName="SHA-512" hashValue="6HCj1Gmp748iiy/x6efDGXQIp+hpqw4CT667ZbWx88x9MU6whTm9ia+boTUZG8+Z7FRE84qVJudnxmEg2e8TJA==" saltValue="1Inpnt73eYjjezJIAkwuUQ==" spinCount="100000" sheet="1" objects="1" scenarios="1" selectLockedCells="1" selectUnlockedCells="1"/>
  <mergeCells count="165">
    <mergeCell ref="BR53:BX53"/>
    <mergeCell ref="BZ53:CF53"/>
    <mergeCell ref="BR62:BX62"/>
    <mergeCell ref="BZ62:CF62"/>
    <mergeCell ref="BZ71:CF71"/>
    <mergeCell ref="BR87:BW87"/>
    <mergeCell ref="BY87:CD87"/>
    <mergeCell ref="BR98:BW98"/>
    <mergeCell ref="BY98:CD98"/>
    <mergeCell ref="BD4:BI4"/>
    <mergeCell ref="BK4:BP4"/>
    <mergeCell ref="BS4:BU4"/>
    <mergeCell ref="BR19:BW19"/>
    <mergeCell ref="BY19:CD19"/>
    <mergeCell ref="BR29:BW29"/>
    <mergeCell ref="BY29:CD29"/>
    <mergeCell ref="BD45:BI45"/>
    <mergeCell ref="BK45:BP45"/>
    <mergeCell ref="AX428:AY428"/>
    <mergeCell ref="AV288:AW288"/>
    <mergeCell ref="AX288:AY288"/>
    <mergeCell ref="AX153:AY153"/>
    <mergeCell ref="I424:J424"/>
    <mergeCell ref="M339:N339"/>
    <mergeCell ref="G339:H339"/>
    <mergeCell ref="I339:J339"/>
    <mergeCell ref="M424:N424"/>
    <mergeCell ref="G424:H424"/>
    <mergeCell ref="Z284:AB284"/>
    <mergeCell ref="Z424:AB424"/>
    <mergeCell ref="Z199:AB199"/>
    <mergeCell ref="Z339:AB339"/>
    <mergeCell ref="AV153:AW153"/>
    <mergeCell ref="AV428:AW428"/>
    <mergeCell ref="O199:Q199"/>
    <mergeCell ref="R199:S199"/>
    <mergeCell ref="AE423:AQ423"/>
    <mergeCell ref="O283:S283"/>
    <mergeCell ref="AE283:AQ283"/>
    <mergeCell ref="D198:J198"/>
    <mergeCell ref="K198:N198"/>
    <mergeCell ref="AT4:AT5"/>
    <mergeCell ref="Z4:AB4"/>
    <mergeCell ref="Z144:AB144"/>
    <mergeCell ref="I4:J4"/>
    <mergeCell ref="G59:H59"/>
    <mergeCell ref="I59:J59"/>
    <mergeCell ref="Z479:AB479"/>
    <mergeCell ref="O284:Q284"/>
    <mergeCell ref="R284:S284"/>
    <mergeCell ref="O339:Q339"/>
    <mergeCell ref="R339:S339"/>
    <mergeCell ref="O424:Q424"/>
    <mergeCell ref="R424:S424"/>
    <mergeCell ref="AE338:AQ338"/>
    <mergeCell ref="O479:Q479"/>
    <mergeCell ref="R479:S479"/>
    <mergeCell ref="O198:S198"/>
    <mergeCell ref="O338:S338"/>
    <mergeCell ref="O423:S423"/>
    <mergeCell ref="O478:S478"/>
    <mergeCell ref="AE478:AQ478"/>
    <mergeCell ref="AE198:AQ198"/>
    <mergeCell ref="B425:B429"/>
    <mergeCell ref="B480:B484"/>
    <mergeCell ref="B285:B289"/>
    <mergeCell ref="B340:B344"/>
    <mergeCell ref="D424:E424"/>
    <mergeCell ref="D339:E339"/>
    <mergeCell ref="D479:E479"/>
    <mergeCell ref="K424:L424"/>
    <mergeCell ref="K479:L479"/>
    <mergeCell ref="G479:H479"/>
    <mergeCell ref="I479:J479"/>
    <mergeCell ref="C339:C340"/>
    <mergeCell ref="C424:C425"/>
    <mergeCell ref="C479:C480"/>
    <mergeCell ref="K339:L339"/>
    <mergeCell ref="D338:J338"/>
    <mergeCell ref="K338:N338"/>
    <mergeCell ref="D423:J423"/>
    <mergeCell ref="K423:N423"/>
    <mergeCell ref="M479:N479"/>
    <mergeCell ref="E413:G413"/>
    <mergeCell ref="D478:J478"/>
    <mergeCell ref="K478:N478"/>
    <mergeCell ref="B200:B204"/>
    <mergeCell ref="D284:E284"/>
    <mergeCell ref="M284:N284"/>
    <mergeCell ref="G284:H284"/>
    <mergeCell ref="D199:E199"/>
    <mergeCell ref="M199:N199"/>
    <mergeCell ref="G199:H199"/>
    <mergeCell ref="C199:C200"/>
    <mergeCell ref="C284:C285"/>
    <mergeCell ref="I199:J199"/>
    <mergeCell ref="K199:L199"/>
    <mergeCell ref="I284:J284"/>
    <mergeCell ref="K284:L284"/>
    <mergeCell ref="D283:J283"/>
    <mergeCell ref="K283:N283"/>
    <mergeCell ref="E274:F274"/>
    <mergeCell ref="E275:F275"/>
    <mergeCell ref="E276:F276"/>
    <mergeCell ref="E277:F277"/>
    <mergeCell ref="E278:F278"/>
    <mergeCell ref="E279:F279"/>
    <mergeCell ref="E273:G273"/>
    <mergeCell ref="B5:B9"/>
    <mergeCell ref="I144:J144"/>
    <mergeCell ref="B60:B64"/>
    <mergeCell ref="B145:B149"/>
    <mergeCell ref="D59:E59"/>
    <mergeCell ref="D144:E144"/>
    <mergeCell ref="M144:N144"/>
    <mergeCell ref="G144:H144"/>
    <mergeCell ref="C4:C5"/>
    <mergeCell ref="C59:C60"/>
    <mergeCell ref="C144:C145"/>
    <mergeCell ref="K58:N58"/>
    <mergeCell ref="K143:N143"/>
    <mergeCell ref="M59:N59"/>
    <mergeCell ref="K4:L4"/>
    <mergeCell ref="K59:L59"/>
    <mergeCell ref="K144:L144"/>
    <mergeCell ref="D4:E4"/>
    <mergeCell ref="G4:H4"/>
    <mergeCell ref="M4:N4"/>
    <mergeCell ref="D3:J3"/>
    <mergeCell ref="D58:J58"/>
    <mergeCell ref="D143:J143"/>
    <mergeCell ref="F134:G134"/>
    <mergeCell ref="F135:G135"/>
    <mergeCell ref="F136:G136"/>
    <mergeCell ref="F137:G137"/>
    <mergeCell ref="F138:G138"/>
    <mergeCell ref="F139:G139"/>
    <mergeCell ref="F133:H133"/>
    <mergeCell ref="AE3:AQ3"/>
    <mergeCell ref="O59:Q59"/>
    <mergeCell ref="R59:S59"/>
    <mergeCell ref="O144:Q144"/>
    <mergeCell ref="R144:S144"/>
    <mergeCell ref="AE58:AQ58"/>
    <mergeCell ref="AE143:AQ143"/>
    <mergeCell ref="K3:N3"/>
    <mergeCell ref="O3:S3"/>
    <mergeCell ref="O4:Q4"/>
    <mergeCell ref="R4:S4"/>
    <mergeCell ref="Z59:AB59"/>
    <mergeCell ref="O58:S58"/>
    <mergeCell ref="O143:S143"/>
    <mergeCell ref="E557:F557"/>
    <mergeCell ref="E558:F558"/>
    <mergeCell ref="E559:F559"/>
    <mergeCell ref="E414:F414"/>
    <mergeCell ref="E415:F415"/>
    <mergeCell ref="E416:F416"/>
    <mergeCell ref="E417:F417"/>
    <mergeCell ref="E418:F418"/>
    <mergeCell ref="E419:F419"/>
    <mergeCell ref="E553:G553"/>
    <mergeCell ref="E554:F554"/>
    <mergeCell ref="E555:F555"/>
    <mergeCell ref="E556:F556"/>
  </mergeCells>
  <pageMargins left="0" right="0" top="0" bottom="0" header="0" footer="0"/>
  <pageSetup paperSize="9" scale="11"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CZ507"/>
  <sheetViews>
    <sheetView zoomScale="85" zoomScaleNormal="85" workbookViewId="0">
      <selection activeCell="AO20" sqref="AO20"/>
    </sheetView>
  </sheetViews>
  <sheetFormatPr defaultRowHeight="15" x14ac:dyDescent="0.25"/>
  <cols>
    <col min="1" max="1" width="1.140625" style="8" customWidth="1"/>
    <col min="2" max="2" width="39.42578125" customWidth="1"/>
    <col min="3" max="3" width="13.140625" customWidth="1"/>
    <col min="4" max="4" width="22" bestFit="1" customWidth="1"/>
    <col min="5" max="5" width="13.140625" style="73" customWidth="1"/>
    <col min="6" max="6" width="15" style="73" customWidth="1"/>
    <col min="7" max="7" width="13.140625" customWidth="1"/>
    <col min="8" max="8" width="21.7109375" bestFit="1" customWidth="1"/>
    <col min="9" max="9" width="13.140625" style="73" customWidth="1"/>
    <col min="10" max="10" width="11" style="73" bestFit="1" customWidth="1"/>
    <col min="11" max="12" width="13.140625" customWidth="1"/>
    <col min="13" max="13" width="13" style="73" bestFit="1" customWidth="1"/>
    <col min="14" max="14" width="10.28515625" style="73" bestFit="1" customWidth="1"/>
    <col min="15" max="15" width="13.7109375" customWidth="1"/>
    <col min="16" max="16" width="6.7109375" customWidth="1"/>
    <col min="17" max="17" width="23" customWidth="1"/>
    <col min="18" max="19" width="13.7109375" customWidth="1"/>
    <col min="20" max="20" width="13.7109375" bestFit="1" customWidth="1"/>
    <col min="21" max="22" width="13.7109375" style="73" customWidth="1"/>
    <col min="23" max="23" width="13.42578125" style="73" customWidth="1"/>
    <col min="24" max="25" width="13.7109375" style="73" bestFit="1" customWidth="1"/>
    <col min="26" max="28" width="10.5703125" style="73" customWidth="1"/>
    <col min="29" max="29" width="11.42578125" style="73" customWidth="1"/>
    <col min="30" max="34" width="10.5703125" style="73" customWidth="1"/>
    <col min="35" max="35" width="23.7109375" style="73" bestFit="1" customWidth="1"/>
    <col min="36" max="38" width="7" style="73" bestFit="1" customWidth="1"/>
    <col min="39" max="39" width="7" bestFit="1" customWidth="1"/>
    <col min="40" max="43" width="23.140625" style="70" customWidth="1"/>
    <col min="45" max="46" width="10.42578125" bestFit="1" customWidth="1"/>
    <col min="47" max="47" width="56.140625" bestFit="1" customWidth="1"/>
  </cols>
  <sheetData>
    <row r="1" spans="1:104" s="73" customFormat="1" ht="6" customHeight="1" thickBot="1" x14ac:dyDescent="0.3">
      <c r="A1" s="8"/>
      <c r="AN1" s="70"/>
      <c r="AO1" s="70"/>
      <c r="AP1" s="1647"/>
      <c r="AQ1" s="1647"/>
      <c r="AR1" s="956"/>
      <c r="AS1" s="956"/>
      <c r="AT1" s="956"/>
      <c r="AU1" s="956"/>
      <c r="AV1" s="956"/>
      <c r="AW1" s="956"/>
      <c r="AX1" s="956"/>
      <c r="AY1" s="956"/>
      <c r="AZ1" s="956"/>
      <c r="BA1" s="956"/>
      <c r="BB1" s="956"/>
      <c r="BC1" s="956"/>
      <c r="BD1" s="956"/>
      <c r="BE1" s="956"/>
      <c r="BF1" s="956"/>
      <c r="BG1" s="956"/>
      <c r="BH1" s="956"/>
      <c r="BI1" s="956"/>
      <c r="BJ1" s="956"/>
      <c r="BK1" s="956"/>
      <c r="BL1" s="956"/>
      <c r="BM1" s="956"/>
      <c r="BN1" s="956"/>
      <c r="BO1" s="956"/>
      <c r="BP1" s="956"/>
      <c r="BQ1" s="956"/>
      <c r="BR1" s="956"/>
      <c r="BS1" s="956"/>
      <c r="BT1" s="956"/>
      <c r="BU1" s="956"/>
      <c r="BV1" s="956"/>
      <c r="BW1" s="956"/>
      <c r="BX1" s="956"/>
      <c r="BY1" s="956"/>
      <c r="BZ1" s="956"/>
      <c r="CA1" s="956"/>
      <c r="CB1" s="956"/>
      <c r="CC1" s="956"/>
      <c r="CD1" s="956"/>
      <c r="CE1" s="956"/>
      <c r="CF1" s="956"/>
      <c r="CG1" s="956"/>
      <c r="CH1" s="956"/>
      <c r="CI1" s="956"/>
      <c r="CJ1" s="956"/>
      <c r="CK1" s="956"/>
      <c r="CL1" s="956"/>
      <c r="CM1" s="956"/>
      <c r="CN1" s="956"/>
      <c r="CO1" s="956"/>
      <c r="CP1" s="956"/>
      <c r="CQ1" s="956"/>
      <c r="CR1" s="956"/>
      <c r="CS1" s="956"/>
      <c r="CT1" s="956"/>
      <c r="CU1" s="956"/>
      <c r="CV1" s="956"/>
      <c r="CW1" s="956"/>
      <c r="CX1" s="956"/>
      <c r="CY1" s="956"/>
      <c r="CZ1" s="956"/>
    </row>
    <row r="2" spans="1:104" s="73" customFormat="1" ht="27" thickBot="1" x14ac:dyDescent="0.45">
      <c r="B2" s="202" t="s">
        <v>151</v>
      </c>
      <c r="C2" s="206"/>
      <c r="D2" s="207"/>
      <c r="E2" s="208"/>
      <c r="F2" s="207"/>
      <c r="G2" s="209"/>
      <c r="H2" s="206"/>
      <c r="I2" s="206"/>
      <c r="J2" s="206"/>
      <c r="K2" s="206"/>
      <c r="L2" s="206"/>
      <c r="M2" s="210"/>
      <c r="AN2" s="70"/>
      <c r="AO2" s="70"/>
      <c r="AP2" s="1994" t="s">
        <v>515</v>
      </c>
      <c r="AQ2" s="1995"/>
      <c r="AR2" s="1995"/>
      <c r="AS2" s="1995"/>
      <c r="AT2" s="1995"/>
      <c r="AU2" s="1995"/>
      <c r="AV2" s="1995"/>
      <c r="AW2" s="1996"/>
      <c r="AX2" s="956"/>
      <c r="AY2" s="1994" t="s">
        <v>515</v>
      </c>
      <c r="AZ2" s="1995"/>
      <c r="BA2" s="1995"/>
      <c r="BB2" s="1995"/>
      <c r="BC2" s="956"/>
      <c r="BD2" s="1994" t="s">
        <v>515</v>
      </c>
      <c r="BE2" s="1995"/>
      <c r="BF2" s="1995"/>
      <c r="BG2" s="1995"/>
      <c r="BH2" s="1995"/>
      <c r="BI2" s="1996"/>
      <c r="BJ2" s="956"/>
      <c r="BK2" s="956"/>
      <c r="BL2" s="956"/>
      <c r="BM2" s="956"/>
      <c r="BN2" s="956"/>
      <c r="BO2" s="956"/>
      <c r="BP2" s="956"/>
      <c r="BQ2" s="956"/>
      <c r="BR2" s="956"/>
      <c r="BS2" s="956"/>
      <c r="BT2" s="956"/>
      <c r="BU2" s="956"/>
      <c r="BV2" s="956"/>
      <c r="BW2" s="956"/>
      <c r="BX2" s="956"/>
      <c r="BY2" s="956"/>
      <c r="BZ2" s="956"/>
      <c r="CA2" s="956"/>
      <c r="CB2" s="956"/>
      <c r="CC2" s="956"/>
      <c r="CD2" s="956"/>
      <c r="CE2" s="956"/>
      <c r="CF2" s="956"/>
      <c r="CG2" s="956"/>
      <c r="CH2" s="956"/>
      <c r="CI2" s="956"/>
      <c r="CJ2" s="956"/>
      <c r="CK2" s="956"/>
      <c r="CL2" s="956"/>
      <c r="CM2" s="956"/>
      <c r="CN2" s="956"/>
      <c r="CO2" s="956"/>
      <c r="CP2" s="956"/>
      <c r="CQ2" s="956"/>
      <c r="CR2" s="956"/>
      <c r="CS2" s="956"/>
      <c r="CT2" s="956"/>
      <c r="CU2" s="956"/>
      <c r="CV2" s="956"/>
      <c r="CW2" s="956"/>
      <c r="CX2" s="956"/>
      <c r="CY2" s="956"/>
      <c r="CZ2" s="956"/>
    </row>
    <row r="3" spans="1:104" s="73" customFormat="1" ht="15.75" thickBot="1" x14ac:dyDescent="0.3">
      <c r="A3" s="8"/>
      <c r="AJ3" s="70"/>
      <c r="AK3" s="70"/>
      <c r="AL3" s="70"/>
      <c r="AM3" s="70"/>
      <c r="AP3" s="1785"/>
      <c r="AQ3" s="1785"/>
      <c r="AR3" s="1785"/>
      <c r="AS3" s="1785"/>
      <c r="AT3" s="1785"/>
      <c r="AU3" s="1785"/>
      <c r="AV3" s="1785"/>
      <c r="AW3" s="1785"/>
      <c r="AX3" s="956"/>
      <c r="AY3" s="1785"/>
      <c r="AZ3" s="1785"/>
      <c r="BA3" s="1785"/>
      <c r="BB3" s="1785"/>
      <c r="BC3" s="956"/>
      <c r="BD3" s="1785"/>
      <c r="BE3" s="1785"/>
      <c r="BF3" s="1785"/>
      <c r="BG3" s="1785"/>
      <c r="BH3" s="1785"/>
      <c r="BI3" s="1785"/>
      <c r="BJ3" s="956"/>
      <c r="BK3" s="956"/>
      <c r="BL3" s="956"/>
      <c r="BM3" s="956"/>
      <c r="BN3" s="956"/>
      <c r="BO3" s="956"/>
      <c r="BP3" s="956"/>
      <c r="BQ3" s="956"/>
      <c r="BR3" s="956"/>
      <c r="BS3" s="956"/>
      <c r="BT3" s="956"/>
      <c r="BU3" s="956"/>
      <c r="BV3" s="956"/>
      <c r="BW3" s="956"/>
      <c r="BX3" s="956"/>
      <c r="BY3" s="956"/>
      <c r="BZ3" s="956"/>
      <c r="CA3" s="956"/>
      <c r="CB3" s="956"/>
      <c r="CC3" s="956"/>
      <c r="CD3" s="956"/>
      <c r="CE3" s="956"/>
      <c r="CF3" s="956"/>
      <c r="CG3" s="956"/>
      <c r="CH3" s="956"/>
      <c r="CI3" s="956"/>
      <c r="CJ3" s="956"/>
      <c r="CK3" s="956"/>
      <c r="CL3" s="956"/>
      <c r="CM3" s="956"/>
      <c r="CN3" s="956"/>
      <c r="CO3" s="956"/>
      <c r="CP3" s="956"/>
      <c r="CQ3" s="956"/>
      <c r="CR3" s="956"/>
      <c r="CS3" s="956"/>
      <c r="CT3" s="956"/>
      <c r="CU3" s="956"/>
      <c r="CV3" s="956"/>
      <c r="CW3" s="956"/>
      <c r="CX3" s="956"/>
      <c r="CY3" s="956"/>
      <c r="CZ3" s="956"/>
    </row>
    <row r="4" spans="1:104" ht="19.5" customHeight="1" thickBot="1" x14ac:dyDescent="0.3">
      <c r="B4" s="117" t="s">
        <v>134</v>
      </c>
      <c r="C4" s="100" t="s">
        <v>46</v>
      </c>
      <c r="D4" s="74">
        <v>10</v>
      </c>
      <c r="E4" s="74" t="s">
        <v>45</v>
      </c>
      <c r="F4" s="75" t="s">
        <v>132</v>
      </c>
      <c r="G4" s="100" t="s">
        <v>47</v>
      </c>
      <c r="H4" s="74">
        <v>10</v>
      </c>
      <c r="I4" s="74" t="s">
        <v>45</v>
      </c>
      <c r="J4" s="75" t="s">
        <v>132</v>
      </c>
      <c r="K4" s="100" t="s">
        <v>48</v>
      </c>
      <c r="L4" s="74">
        <v>20</v>
      </c>
      <c r="M4" s="74" t="s">
        <v>45</v>
      </c>
      <c r="N4" s="224" t="s">
        <v>132</v>
      </c>
      <c r="O4" s="145" t="s">
        <v>50</v>
      </c>
      <c r="Q4" s="117" t="s">
        <v>64</v>
      </c>
      <c r="R4" s="87" t="s">
        <v>46</v>
      </c>
      <c r="S4" s="87" t="s">
        <v>47</v>
      </c>
      <c r="T4" s="87" t="s">
        <v>48</v>
      </c>
      <c r="U4" s="87" t="s">
        <v>50</v>
      </c>
      <c r="V4" s="79"/>
      <c r="W4" s="79"/>
      <c r="X4" s="79"/>
      <c r="Y4" s="79"/>
      <c r="Z4" s="79"/>
      <c r="AA4" s="79"/>
      <c r="AB4" s="79"/>
      <c r="AC4" s="79"/>
      <c r="AD4" s="79"/>
      <c r="AE4" s="79"/>
      <c r="AF4" s="79"/>
      <c r="AG4" s="79"/>
      <c r="AH4" s="2"/>
      <c r="AI4" s="183" t="s">
        <v>145</v>
      </c>
      <c r="AJ4" s="100">
        <v>2010</v>
      </c>
      <c r="AK4" s="163">
        <v>2020</v>
      </c>
      <c r="AL4" s="163">
        <v>2030</v>
      </c>
      <c r="AM4" s="164">
        <v>2050</v>
      </c>
      <c r="AN4"/>
      <c r="AO4"/>
      <c r="AP4" s="1742" t="str">
        <f>B4</f>
        <v>Growth rates</v>
      </c>
      <c r="AQ4" s="1786">
        <v>2010</v>
      </c>
      <c r="AR4" s="1997" t="str">
        <f>C4</f>
        <v>2010-2020</v>
      </c>
      <c r="AS4" s="1997"/>
      <c r="AT4" s="1998" t="str">
        <f>G4</f>
        <v>2020-2030</v>
      </c>
      <c r="AU4" s="1999"/>
      <c r="AV4" s="1997" t="str">
        <f>K4</f>
        <v>2030-2050</v>
      </c>
      <c r="AW4" s="2000"/>
      <c r="AX4" s="956"/>
      <c r="AY4" s="1742" t="str">
        <f>AP4</f>
        <v>Growth rates</v>
      </c>
      <c r="AZ4" s="1787" t="str">
        <f>$AR$4</f>
        <v>2010-2020</v>
      </c>
      <c r="BA4" s="1788" t="str">
        <f>$AT$4</f>
        <v>2020-2030</v>
      </c>
      <c r="BB4" s="1789" t="str">
        <f>$T$4</f>
        <v>2030-2050</v>
      </c>
      <c r="BC4" s="956"/>
      <c r="BD4" s="2001" t="s">
        <v>516</v>
      </c>
      <c r="BE4" s="1786">
        <v>2010</v>
      </c>
      <c r="BF4" s="1790">
        <v>2020</v>
      </c>
      <c r="BG4" s="1791">
        <v>2030</v>
      </c>
      <c r="BH4" s="1790">
        <v>2040</v>
      </c>
      <c r="BI4" s="1789">
        <v>2050</v>
      </c>
      <c r="BJ4" s="956"/>
      <c r="BK4" s="1965" t="s">
        <v>516</v>
      </c>
      <c r="BL4" s="1966"/>
      <c r="BM4" s="1966"/>
      <c r="BN4" s="1966"/>
      <c r="BO4" s="1966"/>
      <c r="BP4" s="1967"/>
      <c r="BQ4" s="956"/>
      <c r="BR4" s="956"/>
      <c r="BS4" s="956"/>
      <c r="BT4" s="956"/>
      <c r="BU4" s="956"/>
      <c r="BV4" s="956"/>
      <c r="BW4" s="956"/>
      <c r="BX4" s="956"/>
      <c r="BY4" s="956"/>
      <c r="BZ4" s="956"/>
      <c r="CA4" s="956"/>
      <c r="CB4" s="956"/>
      <c r="CC4" s="956"/>
      <c r="CD4" s="956"/>
      <c r="CE4" s="956"/>
      <c r="CF4" s="956"/>
      <c r="CG4" s="956"/>
      <c r="CH4" s="956"/>
      <c r="CI4" s="956"/>
      <c r="CJ4" s="956"/>
      <c r="CK4" s="956"/>
      <c r="CL4" s="956"/>
      <c r="CM4" s="956"/>
      <c r="CN4" s="956"/>
      <c r="CO4" s="956"/>
      <c r="CP4" s="956"/>
      <c r="CQ4" s="956"/>
      <c r="CR4" s="956"/>
      <c r="CS4" s="956"/>
      <c r="CT4" s="956"/>
      <c r="CU4" s="956"/>
      <c r="CV4" s="956"/>
      <c r="CW4" s="956"/>
      <c r="CX4" s="956"/>
      <c r="CY4" s="956"/>
      <c r="CZ4" s="956"/>
    </row>
    <row r="5" spans="1:104" ht="16.5" thickBot="1" x14ac:dyDescent="0.3">
      <c r="B5" s="122" t="s">
        <v>31</v>
      </c>
      <c r="C5" s="45" t="s">
        <v>49</v>
      </c>
      <c r="D5" s="43" t="s">
        <v>133</v>
      </c>
      <c r="E5" s="43" t="s">
        <v>161</v>
      </c>
      <c r="F5" s="43" t="s">
        <v>161</v>
      </c>
      <c r="G5" s="45" t="s">
        <v>49</v>
      </c>
      <c r="H5" s="43" t="s">
        <v>133</v>
      </c>
      <c r="I5" s="43" t="s">
        <v>161</v>
      </c>
      <c r="J5" s="43" t="s">
        <v>161</v>
      </c>
      <c r="K5" s="45" t="s">
        <v>49</v>
      </c>
      <c r="L5" s="43" t="s">
        <v>133</v>
      </c>
      <c r="M5" s="43" t="s">
        <v>161</v>
      </c>
      <c r="N5" s="43" t="s">
        <v>161</v>
      </c>
      <c r="O5" s="72" t="s">
        <v>133</v>
      </c>
      <c r="Q5" s="122" t="s">
        <v>31</v>
      </c>
      <c r="R5" s="66" t="s">
        <v>62</v>
      </c>
      <c r="S5" s="66" t="s">
        <v>62</v>
      </c>
      <c r="T5" s="66" t="s">
        <v>62</v>
      </c>
      <c r="U5" s="66" t="s">
        <v>62</v>
      </c>
      <c r="V5" s="7"/>
      <c r="W5" s="7"/>
      <c r="X5" s="7"/>
      <c r="Y5" s="7"/>
      <c r="Z5" s="7"/>
      <c r="AA5" s="7"/>
      <c r="AB5" s="7"/>
      <c r="AC5" s="7"/>
      <c r="AD5" s="7"/>
      <c r="AE5" s="7"/>
      <c r="AF5" s="7"/>
      <c r="AG5" s="7"/>
      <c r="AH5" s="79"/>
      <c r="AI5" s="184" t="s">
        <v>31</v>
      </c>
      <c r="AJ5" s="45" t="s">
        <v>146</v>
      </c>
      <c r="AK5" s="43" t="s">
        <v>146</v>
      </c>
      <c r="AL5" s="43" t="s">
        <v>146</v>
      </c>
      <c r="AM5" s="46" t="s">
        <v>146</v>
      </c>
      <c r="AN5"/>
      <c r="AO5"/>
      <c r="AP5" s="1792" t="str">
        <f t="shared" ref="AP5:AP67" si="0">B5</f>
        <v>Passenger transport</v>
      </c>
      <c r="AQ5" s="1793" t="s">
        <v>517</v>
      </c>
      <c r="AR5" s="1794" t="s">
        <v>518</v>
      </c>
      <c r="AS5" s="1794" t="s">
        <v>517</v>
      </c>
      <c r="AT5" s="1795" t="str">
        <f>$AR$5</f>
        <v>Growth Rate (%/year)</v>
      </c>
      <c r="AU5" s="1796" t="str">
        <f>$AS$5</f>
        <v>Transport Demand (Mpkm)</v>
      </c>
      <c r="AV5" s="1794" t="str">
        <f>$AR$5</f>
        <v>Growth Rate (%/year)</v>
      </c>
      <c r="AW5" s="1797" t="str">
        <f>$AS$5</f>
        <v>Transport Demand (Mpkm)</v>
      </c>
      <c r="AX5" s="956"/>
      <c r="AY5" s="1792" t="str">
        <f>AP5</f>
        <v>Passenger transport</v>
      </c>
      <c r="AZ5" s="1794" t="str">
        <f>AR5</f>
        <v>Growth Rate (%/year)</v>
      </c>
      <c r="BA5" s="1795" t="str">
        <f>AT5</f>
        <v>Growth Rate (%/year)</v>
      </c>
      <c r="BB5" s="1797" t="str">
        <f>AV5</f>
        <v>Growth Rate (%/year)</v>
      </c>
      <c r="BC5" s="956"/>
      <c r="BD5" s="2002"/>
      <c r="BE5" s="1793"/>
      <c r="BF5" s="1798"/>
      <c r="BG5" s="1796"/>
      <c r="BH5" s="1798"/>
      <c r="BI5" s="1797"/>
      <c r="BJ5" s="956"/>
      <c r="BK5" s="1799" t="s">
        <v>454</v>
      </c>
      <c r="BL5" s="1800">
        <f>BE4</f>
        <v>2010</v>
      </c>
      <c r="BM5" s="1801">
        <f>BF4</f>
        <v>2020</v>
      </c>
      <c r="BN5" s="1800">
        <f>BG4</f>
        <v>2030</v>
      </c>
      <c r="BO5" s="1801">
        <f>BH4</f>
        <v>2040</v>
      </c>
      <c r="BP5" s="1802">
        <f>BI4</f>
        <v>2050</v>
      </c>
      <c r="BQ5" s="956"/>
      <c r="BR5" s="956"/>
      <c r="BS5" s="956"/>
      <c r="BT5" s="956"/>
      <c r="BU5" s="956"/>
      <c r="BV5" s="956"/>
      <c r="BW5" s="956"/>
      <c r="BX5" s="956"/>
      <c r="BY5" s="956"/>
      <c r="BZ5" s="956"/>
      <c r="CA5" s="956"/>
      <c r="CB5" s="956"/>
      <c r="CC5" s="956"/>
      <c r="CD5" s="956"/>
      <c r="CE5" s="956"/>
      <c r="CF5" s="956"/>
      <c r="CG5" s="956"/>
      <c r="CH5" s="956"/>
      <c r="CI5" s="956"/>
      <c r="CJ5" s="956"/>
      <c r="CK5" s="956"/>
      <c r="CL5" s="956"/>
      <c r="CM5" s="956"/>
      <c r="CN5" s="956"/>
      <c r="CO5" s="956"/>
      <c r="CP5" s="956"/>
      <c r="CQ5" s="956"/>
      <c r="CR5" s="956"/>
      <c r="CS5" s="956"/>
      <c r="CT5" s="956"/>
      <c r="CU5" s="956"/>
      <c r="CV5" s="956"/>
      <c r="CW5" s="956"/>
      <c r="CX5" s="956"/>
      <c r="CY5" s="956"/>
      <c r="CZ5" s="956"/>
    </row>
    <row r="6" spans="1:104" ht="15.75" x14ac:dyDescent="0.25">
      <c r="B6" s="116" t="s">
        <v>317</v>
      </c>
      <c r="C6" s="94">
        <f>('Scenarios technology'!D146/'Scenarios technology'!D6)^(1/10)-1</f>
        <v>2.2086522833322908E-2</v>
      </c>
      <c r="D6" s="95">
        <f t="shared" ref="D6:D41" si="1">(1+C6)^$D$4</f>
        <v>1.24416109689706</v>
      </c>
      <c r="E6" s="99">
        <v>64428.817973931888</v>
      </c>
      <c r="F6" s="101">
        <f>'Scenarios technology'!D146-E6</f>
        <v>0</v>
      </c>
      <c r="G6" s="94">
        <f>('Scenarios technology'!D286/'Scenarios technology'!D146)^(1/10)-1</f>
        <v>2.1769965944761438E-2</v>
      </c>
      <c r="H6" s="95">
        <f t="shared" ref="H6:H41" si="2">(1+G6)^$H$4</f>
        <v>1.2403130928862276</v>
      </c>
      <c r="I6" s="99">
        <v>79911.906492251175</v>
      </c>
      <c r="J6" s="102">
        <f>'Scenarios technology'!D286-I6</f>
        <v>0</v>
      </c>
      <c r="K6" s="94">
        <f>('Scenarios technology'!D426/'Scenarios technology'!D286)^(1/20)-1</f>
        <v>1.0808313062713237E-2</v>
      </c>
      <c r="L6" s="95">
        <f t="shared" ref="L6:L41" si="3">(1+K6)^$L$4</f>
        <v>1.2398698504327363</v>
      </c>
      <c r="M6" s="99">
        <v>99080.363550342168</v>
      </c>
      <c r="N6" s="102">
        <f>'Scenarios technology'!D426-M6</f>
        <v>0</v>
      </c>
      <c r="O6" s="96">
        <f t="shared" ref="O6:O43" si="4">(((1+C6)^$D$4)*((1+G6)^$H$4)*((1+K6)^$L$4))-1</f>
        <v>0.91330428948160503</v>
      </c>
      <c r="Q6" s="222" t="s">
        <v>321</v>
      </c>
      <c r="R6" s="1584">
        <v>0</v>
      </c>
      <c r="S6" s="1585">
        <v>0</v>
      </c>
      <c r="T6" s="1585">
        <v>0</v>
      </c>
      <c r="U6" s="291">
        <f>1-SUM('Scenarios technology'!D428:D429)/(SUM('Scenarios technology'!D8:D9)*((('Growth, Modal Shift, InfraCosts'!O8+'Growth, Modal Shift, InfraCosts'!O9)/2)+1))</f>
        <v>0</v>
      </c>
      <c r="V6" s="77"/>
      <c r="W6" s="127"/>
      <c r="X6" s="127"/>
      <c r="Y6" s="127"/>
      <c r="Z6" s="127"/>
      <c r="AA6" s="127"/>
      <c r="AB6" s="127"/>
      <c r="AC6" s="127"/>
      <c r="AD6" s="127"/>
      <c r="AE6" s="127"/>
      <c r="AF6" s="127"/>
      <c r="AH6" s="79"/>
      <c r="AI6" s="182" t="s">
        <v>317</v>
      </c>
      <c r="AJ6" s="191">
        <v>1</v>
      </c>
      <c r="AK6" s="192">
        <f>D6</f>
        <v>1.24416109689706</v>
      </c>
      <c r="AL6" s="192">
        <f>I6/E6*AK6</f>
        <v>1.5431492981411128</v>
      </c>
      <c r="AM6" s="193">
        <f>M6/E6*AK6</f>
        <v>1.9133042894816017</v>
      </c>
      <c r="AP6" s="1660" t="str">
        <f t="shared" si="0"/>
        <v>Cars and vans &lt; 2 t</v>
      </c>
      <c r="AQ6" s="1661">
        <f>'Scenarios technology'!$D6</f>
        <v>51784.948215000004</v>
      </c>
      <c r="AR6" s="1803">
        <f t="shared" ref="AR6:AR67" si="5">C6</f>
        <v>2.2086522833322908E-2</v>
      </c>
      <c r="AS6" s="1804">
        <f t="shared" ref="AS6:AS67" si="6">E6</f>
        <v>64428.817973931888</v>
      </c>
      <c r="AT6" s="1805">
        <f t="shared" ref="AT6:AT67" si="7">G6</f>
        <v>2.1769965944761438E-2</v>
      </c>
      <c r="AU6" s="1745">
        <f t="shared" ref="AU6:AU67" si="8">I6</f>
        <v>79911.906492251175</v>
      </c>
      <c r="AV6" s="1803">
        <f t="shared" ref="AV6:AV67" si="9">K6</f>
        <v>1.0808313062713237E-2</v>
      </c>
      <c r="AW6" s="1746">
        <f t="shared" ref="AW6:AW67" si="10">M6</f>
        <v>99080.363550342168</v>
      </c>
      <c r="AX6" s="956"/>
      <c r="AY6" s="1660" t="str">
        <f t="shared" ref="AY6:AY43" si="11">AP6</f>
        <v>Cars and vans &lt; 2 t</v>
      </c>
      <c r="AZ6" s="1803">
        <f t="shared" ref="AZ6:AZ43" si="12">AR6</f>
        <v>2.2086522833322908E-2</v>
      </c>
      <c r="BA6" s="1805">
        <f t="shared" ref="BA6:BA43" si="13">AT6</f>
        <v>2.1769965944761438E-2</v>
      </c>
      <c r="BB6" s="1806">
        <f t="shared" ref="BB6:BB43" si="14">AV6</f>
        <v>1.0808313062713237E-2</v>
      </c>
      <c r="BC6" s="956"/>
      <c r="BD6" s="1660" t="str">
        <f t="shared" ref="BD6:BE43" si="15">AP6</f>
        <v>Cars and vans &lt; 2 t</v>
      </c>
      <c r="BE6" s="1661">
        <f t="shared" si="15"/>
        <v>51784.948215000004</v>
      </c>
      <c r="BF6" s="1744">
        <f t="shared" ref="BF6:BF43" si="16">AS6</f>
        <v>64428.817973931888</v>
      </c>
      <c r="BG6" s="1745">
        <f t="shared" ref="BG6:BG43" si="17">AU6</f>
        <v>79911.906492251175</v>
      </c>
      <c r="BH6" s="1744">
        <f>AVERAGE(BG6,BI6)</f>
        <v>89496.135021296679</v>
      </c>
      <c r="BI6" s="1746">
        <f t="shared" ref="BI6:BI43" si="18">AW6</f>
        <v>99080.363550342168</v>
      </c>
      <c r="BJ6" s="956"/>
      <c r="BK6" s="1807" t="str">
        <f t="shared" ref="BK6:BP6" si="19">BD30</f>
        <v>Bicycle/walking</v>
      </c>
      <c r="BL6" s="1808">
        <f t="shared" si="19"/>
        <v>3248.3223933319796</v>
      </c>
      <c r="BM6" s="1676">
        <f t="shared" si="19"/>
        <v>3247.9975610926463</v>
      </c>
      <c r="BN6" s="1808">
        <f t="shared" si="19"/>
        <v>3247.9975610926463</v>
      </c>
      <c r="BO6" s="1676">
        <f t="shared" si="19"/>
        <v>3247.9975610926463</v>
      </c>
      <c r="BP6" s="1678">
        <f t="shared" si="19"/>
        <v>3247.9975610926463</v>
      </c>
      <c r="BQ6" s="956"/>
      <c r="BR6" s="956"/>
      <c r="BS6" s="956"/>
      <c r="BT6" s="956"/>
      <c r="BU6" s="956"/>
      <c r="BV6" s="956"/>
      <c r="BW6" s="956"/>
      <c r="BX6" s="956"/>
      <c r="BY6" s="956"/>
      <c r="BZ6" s="956"/>
      <c r="CA6" s="956"/>
      <c r="CB6" s="956"/>
      <c r="CC6" s="956"/>
      <c r="CD6" s="956"/>
      <c r="CE6" s="956"/>
      <c r="CF6" s="956"/>
      <c r="CG6" s="956"/>
      <c r="CH6" s="956"/>
      <c r="CI6" s="956"/>
      <c r="CJ6" s="956"/>
      <c r="CK6" s="956"/>
      <c r="CL6" s="956"/>
      <c r="CM6" s="956"/>
      <c r="CN6" s="956"/>
      <c r="CO6" s="956"/>
      <c r="CP6" s="956"/>
      <c r="CQ6" s="956"/>
      <c r="CR6" s="956"/>
      <c r="CS6" s="956"/>
      <c r="CT6" s="956"/>
      <c r="CU6" s="956"/>
      <c r="CV6" s="956"/>
      <c r="CW6" s="956"/>
      <c r="CX6" s="956"/>
      <c r="CY6" s="956"/>
      <c r="CZ6" s="956"/>
    </row>
    <row r="7" spans="1:104" ht="16.5" thickBot="1" x14ac:dyDescent="0.3">
      <c r="A7" s="15"/>
      <c r="B7" s="118" t="s">
        <v>105</v>
      </c>
      <c r="C7" s="132">
        <f>('Scenarios technology'!D147/'Scenarios technology'!D7)^(1/10)-1</f>
        <v>2.16166048802795E-2</v>
      </c>
      <c r="D7" s="131">
        <f t="shared" si="1"/>
        <v>1.238452720020744</v>
      </c>
      <c r="E7" s="97">
        <v>35391.883182273297</v>
      </c>
      <c r="F7" s="102">
        <f>'Scenarios technology'!D147-E7</f>
        <v>0</v>
      </c>
      <c r="G7" s="132">
        <f>('Scenarios technology'!D287/'Scenarios technology'!D147)^(1/10)-1</f>
        <v>2.1206145829731682E-2</v>
      </c>
      <c r="H7" s="131">
        <f t="shared" si="2"/>
        <v>1.2334859247516254</v>
      </c>
      <c r="I7" s="97">
        <v>43655.389755787917</v>
      </c>
      <c r="J7" s="102">
        <f>'Scenarios technology'!D287-I7</f>
        <v>0</v>
      </c>
      <c r="K7" s="132">
        <f>('Scenarios technology'!D427/'Scenarios technology'!D287)^(1/20)-1</f>
        <v>1.0887481766658436E-2</v>
      </c>
      <c r="L7" s="131">
        <f t="shared" si="3"/>
        <v>1.2418134822440354</v>
      </c>
      <c r="M7" s="97">
        <v>54211.851571355619</v>
      </c>
      <c r="N7" s="102">
        <f>'Scenarios technology'!D427-M7</f>
        <v>0</v>
      </c>
      <c r="O7" s="12">
        <f t="shared" si="4"/>
        <v>0.89701165914601222</v>
      </c>
      <c r="Q7" s="222" t="s">
        <v>322</v>
      </c>
      <c r="R7" s="1587">
        <v>0</v>
      </c>
      <c r="S7" s="1588">
        <v>0</v>
      </c>
      <c r="T7" s="1588">
        <v>0</v>
      </c>
      <c r="U7" s="1974">
        <f>1-('Scenarios technology'!D431/('Scenarios technology'!D11*('Growth, Modal Shift, InfraCosts'!O11+1)))</f>
        <v>0</v>
      </c>
      <c r="V7" s="7"/>
      <c r="W7" s="7"/>
      <c r="X7" s="7"/>
      <c r="Y7" s="7"/>
      <c r="Z7" s="7"/>
      <c r="AA7" s="7"/>
      <c r="AB7" s="7"/>
      <c r="AC7" s="7"/>
      <c r="AD7" s="7"/>
      <c r="AE7" s="7"/>
      <c r="AF7" s="7"/>
      <c r="AH7" s="6"/>
      <c r="AI7" s="177" t="s">
        <v>76</v>
      </c>
      <c r="AJ7" s="191">
        <v>1</v>
      </c>
      <c r="AK7" s="192">
        <f>D18</f>
        <v>1.0252831332277852</v>
      </c>
      <c r="AL7" s="192">
        <f>I18/E18*AK7</f>
        <v>1.1495622048426235</v>
      </c>
      <c r="AM7" s="193">
        <f>M18/E18*AK7</f>
        <v>1.1786451094676358</v>
      </c>
      <c r="AP7" s="1674" t="str">
        <f t="shared" si="0"/>
        <v>Leisure</v>
      </c>
      <c r="AQ7" s="1661">
        <f>'Scenarios technology'!$D7</f>
        <v>28577.500464999997</v>
      </c>
      <c r="AR7" s="1809">
        <f t="shared" si="5"/>
        <v>2.16166048802795E-2</v>
      </c>
      <c r="AS7" s="1808">
        <f t="shared" si="6"/>
        <v>35391.883182273297</v>
      </c>
      <c r="AT7" s="1810">
        <f t="shared" si="7"/>
        <v>2.1206145829731682E-2</v>
      </c>
      <c r="AU7" s="1677">
        <f t="shared" si="8"/>
        <v>43655.389755787917</v>
      </c>
      <c r="AV7" s="1809">
        <f t="shared" si="9"/>
        <v>1.0887481766658436E-2</v>
      </c>
      <c r="AW7" s="1678">
        <f t="shared" si="10"/>
        <v>54211.851571355619</v>
      </c>
      <c r="AX7" s="956"/>
      <c r="AY7" s="1674" t="str">
        <f t="shared" si="11"/>
        <v>Leisure</v>
      </c>
      <c r="AZ7" s="1809">
        <f t="shared" si="12"/>
        <v>2.16166048802795E-2</v>
      </c>
      <c r="BA7" s="1810">
        <f t="shared" si="13"/>
        <v>2.1206145829731682E-2</v>
      </c>
      <c r="BB7" s="1811">
        <f t="shared" si="14"/>
        <v>1.0887481766658436E-2</v>
      </c>
      <c r="BC7" s="956"/>
      <c r="BD7" s="1674" t="str">
        <f t="shared" si="15"/>
        <v>Leisure</v>
      </c>
      <c r="BE7" s="1675">
        <f t="shared" si="15"/>
        <v>28577.500464999997</v>
      </c>
      <c r="BF7" s="1676">
        <f t="shared" si="16"/>
        <v>35391.883182273297</v>
      </c>
      <c r="BG7" s="1677">
        <f t="shared" si="17"/>
        <v>43655.389755787917</v>
      </c>
      <c r="BH7" s="1676">
        <f t="shared" ref="BH7:BH43" si="20">AVERAGE(BG7,BI7)</f>
        <v>48933.620663571768</v>
      </c>
      <c r="BI7" s="1678">
        <f t="shared" si="18"/>
        <v>54211.851571355619</v>
      </c>
      <c r="BJ7" s="956"/>
      <c r="BK7" s="1807" t="str">
        <f>BD6</f>
        <v>Cars and vans &lt; 2 t</v>
      </c>
      <c r="BL7" s="1808">
        <f>BE6</f>
        <v>51784.948215000004</v>
      </c>
      <c r="BM7" s="1676">
        <f>BF6</f>
        <v>64428.817973931888</v>
      </c>
      <c r="BN7" s="1808">
        <f>BG6</f>
        <v>79911.906492251175</v>
      </c>
      <c r="BO7" s="1676">
        <f>BH6</f>
        <v>89496.135021296679</v>
      </c>
      <c r="BP7" s="1678">
        <f t="shared" ref="BP7" si="21">BI6</f>
        <v>99080.363550342168</v>
      </c>
      <c r="BQ7" s="956"/>
      <c r="BR7" s="956"/>
      <c r="BS7" s="956"/>
      <c r="BT7" s="956"/>
      <c r="BU7" s="956"/>
      <c r="BV7" s="956"/>
      <c r="BW7" s="956"/>
      <c r="BX7" s="956"/>
      <c r="BY7" s="956"/>
      <c r="BZ7" s="956"/>
      <c r="CA7" s="956"/>
      <c r="CB7" s="956"/>
      <c r="CC7" s="956"/>
      <c r="CD7" s="956"/>
      <c r="CE7" s="956"/>
      <c r="CF7" s="956"/>
      <c r="CG7" s="956"/>
      <c r="CH7" s="956"/>
      <c r="CI7" s="956"/>
      <c r="CJ7" s="956"/>
      <c r="CK7" s="956"/>
      <c r="CL7" s="956"/>
      <c r="CM7" s="956"/>
      <c r="CN7" s="956"/>
      <c r="CO7" s="956"/>
      <c r="CP7" s="956"/>
      <c r="CQ7" s="956"/>
      <c r="CR7" s="956"/>
      <c r="CS7" s="956"/>
      <c r="CT7" s="956"/>
      <c r="CU7" s="956"/>
      <c r="CV7" s="956"/>
      <c r="CW7" s="956"/>
      <c r="CX7" s="956"/>
      <c r="CY7" s="956"/>
      <c r="CZ7" s="956"/>
    </row>
    <row r="8" spans="1:104" ht="15.75" x14ac:dyDescent="0.25">
      <c r="A8" s="89"/>
      <c r="B8" s="119" t="s">
        <v>27</v>
      </c>
      <c r="C8" s="80">
        <v>8.9999999999999993E-3</v>
      </c>
      <c r="D8" s="14">
        <f t="shared" si="1"/>
        <v>1.0937338728025254</v>
      </c>
      <c r="E8" s="97">
        <v>1484.6685622835198</v>
      </c>
      <c r="F8" s="102">
        <f>'Scenarios technology'!D148-E8</f>
        <v>0</v>
      </c>
      <c r="G8" s="80">
        <v>8.9999999999999993E-3</v>
      </c>
      <c r="H8" s="14">
        <f t="shared" si="2"/>
        <v>1.0937338728025254</v>
      </c>
      <c r="I8" s="97">
        <v>1623.8322964545116</v>
      </c>
      <c r="J8" s="102">
        <f>'Scenarios technology'!D288-I8</f>
        <v>0</v>
      </c>
      <c r="K8" s="80">
        <v>4.4999999999999997E-3</v>
      </c>
      <c r="L8" s="14">
        <f t="shared" si="3"/>
        <v>1.0939533981868226</v>
      </c>
      <c r="M8" s="97">
        <v>1776.3968587919248</v>
      </c>
      <c r="N8" s="102">
        <f>'Scenarios technology'!D428-M8</f>
        <v>0</v>
      </c>
      <c r="O8" s="12">
        <f t="shared" si="4"/>
        <v>0.30864589266469955</v>
      </c>
      <c r="Q8" s="222" t="s">
        <v>323</v>
      </c>
      <c r="R8" s="1587">
        <v>0</v>
      </c>
      <c r="S8" s="1588">
        <v>0</v>
      </c>
      <c r="T8" s="1588">
        <v>0</v>
      </c>
      <c r="U8" s="1975"/>
      <c r="V8" s="7"/>
      <c r="W8" s="7"/>
      <c r="X8" s="7"/>
      <c r="Y8" s="7"/>
      <c r="Z8" s="7"/>
      <c r="AA8" s="7"/>
      <c r="AB8" s="7"/>
      <c r="AC8" s="7"/>
      <c r="AD8" s="7"/>
      <c r="AE8" s="7"/>
      <c r="AF8" s="7"/>
      <c r="AH8" s="6"/>
      <c r="AI8" s="177" t="s">
        <v>69</v>
      </c>
      <c r="AJ8" s="191">
        <v>1</v>
      </c>
      <c r="AK8" s="192">
        <f>D23</f>
        <v>1.0252826433890561</v>
      </c>
      <c r="AL8" s="192">
        <f>I23/E23*AK8</f>
        <v>1.0512050010579974</v>
      </c>
      <c r="AM8" s="193">
        <f>M23/E23*AK8</f>
        <v>1.0777995556269613</v>
      </c>
      <c r="AP8" s="1674" t="str">
        <f t="shared" si="0"/>
        <v>&lt; 5km</v>
      </c>
      <c r="AQ8" s="1661">
        <f>'Scenarios technology'!$D8</f>
        <v>1357.4312720874998</v>
      </c>
      <c r="AR8" s="1809">
        <f t="shared" si="5"/>
        <v>8.9999999999999993E-3</v>
      </c>
      <c r="AS8" s="1808">
        <f t="shared" si="6"/>
        <v>1484.6685622835198</v>
      </c>
      <c r="AT8" s="1810">
        <f t="shared" si="7"/>
        <v>8.9999999999999993E-3</v>
      </c>
      <c r="AU8" s="1677">
        <f t="shared" si="8"/>
        <v>1623.8322964545116</v>
      </c>
      <c r="AV8" s="1809">
        <f t="shared" si="9"/>
        <v>4.4999999999999997E-3</v>
      </c>
      <c r="AW8" s="1678">
        <f t="shared" si="10"/>
        <v>1776.3968587919248</v>
      </c>
      <c r="AX8" s="956"/>
      <c r="AY8" s="1674" t="str">
        <f t="shared" si="11"/>
        <v>&lt; 5km</v>
      </c>
      <c r="AZ8" s="1809">
        <f t="shared" si="12"/>
        <v>8.9999999999999993E-3</v>
      </c>
      <c r="BA8" s="1810">
        <f t="shared" si="13"/>
        <v>8.9999999999999993E-3</v>
      </c>
      <c r="BB8" s="1811">
        <f t="shared" si="14"/>
        <v>4.4999999999999997E-3</v>
      </c>
      <c r="BC8" s="956"/>
      <c r="BD8" s="1674" t="str">
        <f t="shared" si="15"/>
        <v>&lt; 5km</v>
      </c>
      <c r="BE8" s="1675">
        <f t="shared" si="15"/>
        <v>1357.4312720874998</v>
      </c>
      <c r="BF8" s="1676">
        <f t="shared" si="16"/>
        <v>1484.6685622835198</v>
      </c>
      <c r="BG8" s="1677">
        <f t="shared" si="17"/>
        <v>1623.8322964545116</v>
      </c>
      <c r="BH8" s="1676">
        <f t="shared" si="20"/>
        <v>1700.1145776232183</v>
      </c>
      <c r="BI8" s="1678">
        <f t="shared" si="18"/>
        <v>1776.3968587919248</v>
      </c>
      <c r="BJ8" s="956"/>
      <c r="BK8" s="1807" t="str">
        <f t="shared" ref="BK8:BP8" si="22">BD18</f>
        <v>Rail</v>
      </c>
      <c r="BL8" s="1808">
        <f t="shared" si="22"/>
        <v>7277.9250000000002</v>
      </c>
      <c r="BM8" s="1676">
        <f t="shared" si="22"/>
        <v>7461.933747396828</v>
      </c>
      <c r="BN8" s="1808">
        <f t="shared" si="22"/>
        <v>8366.4275096792499</v>
      </c>
      <c r="BO8" s="1676">
        <f t="shared" si="22"/>
        <v>8472.2591090007463</v>
      </c>
      <c r="BP8" s="1678">
        <f t="shared" si="22"/>
        <v>8578.0907083222428</v>
      </c>
      <c r="BQ8" s="956"/>
      <c r="BR8" s="956"/>
      <c r="BS8" s="956"/>
      <c r="BT8" s="956"/>
      <c r="BU8" s="956"/>
      <c r="BV8" s="956"/>
      <c r="BW8" s="956"/>
      <c r="BX8" s="956"/>
      <c r="BY8" s="956"/>
      <c r="BZ8" s="956"/>
      <c r="CA8" s="956"/>
      <c r="CB8" s="956"/>
      <c r="CC8" s="956"/>
      <c r="CD8" s="956"/>
      <c r="CE8" s="956"/>
      <c r="CF8" s="956"/>
      <c r="CG8" s="956"/>
      <c r="CH8" s="956"/>
      <c r="CI8" s="956"/>
      <c r="CJ8" s="956"/>
      <c r="CK8" s="956"/>
      <c r="CL8" s="956"/>
      <c r="CM8" s="956"/>
      <c r="CN8" s="956"/>
      <c r="CO8" s="956"/>
      <c r="CP8" s="956"/>
      <c r="CQ8" s="956"/>
      <c r="CR8" s="956"/>
      <c r="CS8" s="956"/>
      <c r="CT8" s="956"/>
      <c r="CU8" s="956"/>
      <c r="CV8" s="956"/>
      <c r="CW8" s="956"/>
      <c r="CX8" s="956"/>
      <c r="CY8" s="956"/>
      <c r="CZ8" s="956"/>
    </row>
    <row r="9" spans="1:104" ht="15.75" x14ac:dyDescent="0.25">
      <c r="A9" s="69"/>
      <c r="B9" s="119" t="s">
        <v>28</v>
      </c>
      <c r="C9" s="81">
        <v>8.9999999999999993E-3</v>
      </c>
      <c r="D9" s="14">
        <f t="shared" si="1"/>
        <v>1.0937338728025254</v>
      </c>
      <c r="E9" s="97">
        <v>9039.2873307872396</v>
      </c>
      <c r="F9" s="102">
        <f>'Scenarios technology'!D149-E9</f>
        <v>0</v>
      </c>
      <c r="G9" s="81">
        <f>0.9%</f>
        <v>9.0000000000000011E-3</v>
      </c>
      <c r="H9" s="14">
        <f t="shared" si="2"/>
        <v>1.0937338728025254</v>
      </c>
      <c r="I9" s="97">
        <v>9886.574739676731</v>
      </c>
      <c r="J9" s="102">
        <f>'Scenarios technology'!D289-I9</f>
        <v>0</v>
      </c>
      <c r="K9" s="81">
        <f>0.45%</f>
        <v>4.5000000000000005E-3</v>
      </c>
      <c r="L9" s="14">
        <f t="shared" si="3"/>
        <v>1.0939533981868226</v>
      </c>
      <c r="M9" s="97">
        <v>10815.452032897361</v>
      </c>
      <c r="N9" s="102">
        <f>'Scenarios technology'!D429-M9</f>
        <v>0</v>
      </c>
      <c r="O9" s="12">
        <f t="shared" si="4"/>
        <v>0.30864589266469955</v>
      </c>
      <c r="Q9" s="222" t="s">
        <v>324</v>
      </c>
      <c r="R9" s="1587">
        <v>0</v>
      </c>
      <c r="S9" s="1588">
        <v>0</v>
      </c>
      <c r="T9" s="1588">
        <v>0</v>
      </c>
      <c r="U9" s="1976"/>
      <c r="V9" s="78"/>
      <c r="W9" s="78"/>
      <c r="X9" s="78"/>
      <c r="Y9" s="78"/>
      <c r="Z9" s="78"/>
      <c r="AA9" s="78"/>
      <c r="AB9" s="78"/>
      <c r="AC9" s="78"/>
      <c r="AD9" s="78"/>
      <c r="AE9" s="78"/>
      <c r="AF9" s="78"/>
      <c r="AH9" s="6"/>
      <c r="AI9" s="177" t="s">
        <v>107</v>
      </c>
      <c r="AJ9" s="191">
        <v>1</v>
      </c>
      <c r="AK9" s="192">
        <f>D35</f>
        <v>1.3702410463356465</v>
      </c>
      <c r="AL9" s="192">
        <f>I35/E35*AK9</f>
        <v>1.8236887563263253</v>
      </c>
      <c r="AM9" s="193">
        <f>M35/E35*AK9</f>
        <v>2.4321577949412907</v>
      </c>
      <c r="AP9" s="1674" t="str">
        <f t="shared" si="0"/>
        <v>5-25 km</v>
      </c>
      <c r="AQ9" s="1661">
        <f>'Scenarios technology'!$D9</f>
        <v>8264.6131344779988</v>
      </c>
      <c r="AR9" s="1809">
        <f t="shared" si="5"/>
        <v>8.9999999999999993E-3</v>
      </c>
      <c r="AS9" s="1808">
        <f t="shared" si="6"/>
        <v>9039.2873307872396</v>
      </c>
      <c r="AT9" s="1810">
        <f t="shared" si="7"/>
        <v>9.0000000000000011E-3</v>
      </c>
      <c r="AU9" s="1677">
        <f t="shared" si="8"/>
        <v>9886.574739676731</v>
      </c>
      <c r="AV9" s="1809">
        <f t="shared" si="9"/>
        <v>4.5000000000000005E-3</v>
      </c>
      <c r="AW9" s="1678">
        <f t="shared" si="10"/>
        <v>10815.452032897361</v>
      </c>
      <c r="AX9" s="956"/>
      <c r="AY9" s="1674" t="str">
        <f t="shared" si="11"/>
        <v>5-25 km</v>
      </c>
      <c r="AZ9" s="1809">
        <f t="shared" si="12"/>
        <v>8.9999999999999993E-3</v>
      </c>
      <c r="BA9" s="1810">
        <f t="shared" si="13"/>
        <v>9.0000000000000011E-3</v>
      </c>
      <c r="BB9" s="1811">
        <f t="shared" si="14"/>
        <v>4.5000000000000005E-3</v>
      </c>
      <c r="BC9" s="956"/>
      <c r="BD9" s="1674" t="str">
        <f t="shared" si="15"/>
        <v>5-25 km</v>
      </c>
      <c r="BE9" s="1675">
        <f t="shared" si="15"/>
        <v>8264.6131344779988</v>
      </c>
      <c r="BF9" s="1676">
        <f t="shared" si="16"/>
        <v>9039.2873307872396</v>
      </c>
      <c r="BG9" s="1677">
        <f t="shared" si="17"/>
        <v>9886.574739676731</v>
      </c>
      <c r="BH9" s="1676">
        <f t="shared" si="20"/>
        <v>10351.013386287046</v>
      </c>
      <c r="BI9" s="1678">
        <f t="shared" si="18"/>
        <v>10815.452032897361</v>
      </c>
      <c r="BJ9" s="956"/>
      <c r="BK9" s="1807" t="str">
        <f t="shared" ref="BK9:BP9" si="23">BD23</f>
        <v>Bus</v>
      </c>
      <c r="BL9" s="1808">
        <f t="shared" si="23"/>
        <v>9105</v>
      </c>
      <c r="BM9" s="1676">
        <f t="shared" si="23"/>
        <v>9335.1984680573551</v>
      </c>
      <c r="BN9" s="1808">
        <f t="shared" si="23"/>
        <v>9571.2215346330649</v>
      </c>
      <c r="BO9" s="1676">
        <f t="shared" si="23"/>
        <v>9692.2932443082736</v>
      </c>
      <c r="BP9" s="1678">
        <f t="shared" si="23"/>
        <v>9813.3649539834823</v>
      </c>
      <c r="BQ9" s="956"/>
      <c r="BR9" s="956"/>
      <c r="BS9" s="956"/>
      <c r="BT9" s="956"/>
      <c r="BU9" s="956"/>
      <c r="BV9" s="956"/>
      <c r="BW9" s="956"/>
      <c r="BX9" s="956"/>
      <c r="BY9" s="956"/>
      <c r="BZ9" s="956"/>
      <c r="CA9" s="956"/>
      <c r="CB9" s="956"/>
      <c r="CC9" s="956"/>
      <c r="CD9" s="956"/>
      <c r="CE9" s="956"/>
      <c r="CF9" s="956"/>
      <c r="CG9" s="956"/>
      <c r="CH9" s="956"/>
      <c r="CI9" s="956"/>
      <c r="CJ9" s="956"/>
      <c r="CK9" s="956"/>
      <c r="CL9" s="956"/>
      <c r="CM9" s="956"/>
      <c r="CN9" s="956"/>
      <c r="CO9" s="956"/>
      <c r="CP9" s="956"/>
      <c r="CQ9" s="956"/>
      <c r="CR9" s="956"/>
      <c r="CS9" s="956"/>
      <c r="CT9" s="956"/>
      <c r="CU9" s="956"/>
      <c r="CV9" s="956"/>
      <c r="CW9" s="956"/>
      <c r="CX9" s="956"/>
      <c r="CY9" s="956"/>
      <c r="CZ9" s="956"/>
    </row>
    <row r="10" spans="1:104" ht="15.75" x14ac:dyDescent="0.25">
      <c r="A10" s="69"/>
      <c r="B10" s="119" t="s">
        <v>29</v>
      </c>
      <c r="C10" s="81">
        <v>2.7E-2</v>
      </c>
      <c r="D10" s="14">
        <f t="shared" si="1"/>
        <v>1.3052822611608936</v>
      </c>
      <c r="E10" s="97">
        <v>7735.2544466706631</v>
      </c>
      <c r="F10" s="102">
        <f>'Scenarios technology'!D150-E10</f>
        <v>0</v>
      </c>
      <c r="G10" s="81">
        <v>2.5999999999999999E-2</v>
      </c>
      <c r="H10" s="14">
        <f t="shared" si="2"/>
        <v>1.2926281449123336</v>
      </c>
      <c r="I10" s="97">
        <v>9998.8076058247789</v>
      </c>
      <c r="J10" s="102">
        <f>'Scenarios technology'!D290-I10</f>
        <v>0</v>
      </c>
      <c r="K10" s="81">
        <v>1.2999999999999999E-2</v>
      </c>
      <c r="L10" s="14">
        <f t="shared" si="3"/>
        <v>1.2947589066276175</v>
      </c>
      <c r="M10" s="97">
        <v>12946.045203297597</v>
      </c>
      <c r="N10" s="102">
        <f>'Scenarios technology'!D430-M10</f>
        <v>0</v>
      </c>
      <c r="O10" s="12">
        <f t="shared" si="4"/>
        <v>1.1845749577539251</v>
      </c>
      <c r="Q10" s="222" t="s">
        <v>325</v>
      </c>
      <c r="R10" s="1587">
        <v>0</v>
      </c>
      <c r="S10" s="1588">
        <v>0</v>
      </c>
      <c r="T10" s="1588">
        <v>0</v>
      </c>
      <c r="U10" s="292">
        <f>1-(SUM('Scenarios technology'!D433:D434)/(SUM('Scenarios technology'!D13:D14)*((('Growth, Modal Shift, InfraCosts'!O13+'Growth, Modal Shift, InfraCosts'!O14)/2)+1)))</f>
        <v>0</v>
      </c>
      <c r="V10" s="76"/>
      <c r="W10" s="76"/>
      <c r="X10" s="76"/>
      <c r="Y10" s="76"/>
      <c r="Z10" s="76"/>
      <c r="AA10" s="76"/>
      <c r="AB10" s="76"/>
      <c r="AC10" s="76"/>
      <c r="AD10" s="76"/>
      <c r="AE10" s="76"/>
      <c r="AF10" s="76"/>
      <c r="AH10" s="6"/>
      <c r="AI10" s="177" t="s">
        <v>77</v>
      </c>
      <c r="AJ10" s="191">
        <v>1</v>
      </c>
      <c r="AK10" s="192">
        <f>D40</f>
        <v>1.0937338728025254</v>
      </c>
      <c r="AL10" s="192">
        <f>I40/E40*AK10</f>
        <v>1.1962537845156109</v>
      </c>
      <c r="AM10" s="193">
        <f>M40/E40*AK10</f>
        <v>1.3086458926646996</v>
      </c>
      <c r="AP10" s="1674" t="str">
        <f t="shared" si="0"/>
        <v>25-50km</v>
      </c>
      <c r="AQ10" s="1661">
        <f>'Scenarios technology'!$D10</f>
        <v>5926.1162714270495</v>
      </c>
      <c r="AR10" s="1809">
        <f t="shared" si="5"/>
        <v>2.7E-2</v>
      </c>
      <c r="AS10" s="1808">
        <f t="shared" si="6"/>
        <v>7735.2544466706631</v>
      </c>
      <c r="AT10" s="1810">
        <f t="shared" si="7"/>
        <v>2.5999999999999999E-2</v>
      </c>
      <c r="AU10" s="1677">
        <f t="shared" si="8"/>
        <v>9998.8076058247789</v>
      </c>
      <c r="AV10" s="1809">
        <f t="shared" si="9"/>
        <v>1.2999999999999999E-2</v>
      </c>
      <c r="AW10" s="1678">
        <f t="shared" si="10"/>
        <v>12946.045203297597</v>
      </c>
      <c r="AX10" s="956"/>
      <c r="AY10" s="1674" t="str">
        <f t="shared" si="11"/>
        <v>25-50km</v>
      </c>
      <c r="AZ10" s="1809">
        <f t="shared" si="12"/>
        <v>2.7E-2</v>
      </c>
      <c r="BA10" s="1810">
        <f t="shared" si="13"/>
        <v>2.5999999999999999E-2</v>
      </c>
      <c r="BB10" s="1811">
        <f t="shared" si="14"/>
        <v>1.2999999999999999E-2</v>
      </c>
      <c r="BC10" s="956"/>
      <c r="BD10" s="1674" t="str">
        <f t="shared" si="15"/>
        <v>25-50km</v>
      </c>
      <c r="BE10" s="1675">
        <f t="shared" si="15"/>
        <v>5926.1162714270495</v>
      </c>
      <c r="BF10" s="1676">
        <f t="shared" si="16"/>
        <v>7735.2544466706631</v>
      </c>
      <c r="BG10" s="1677">
        <f t="shared" si="17"/>
        <v>9998.8076058247789</v>
      </c>
      <c r="BH10" s="1676">
        <f t="shared" si="20"/>
        <v>11472.426404561189</v>
      </c>
      <c r="BI10" s="1678">
        <f t="shared" si="18"/>
        <v>12946.045203297597</v>
      </c>
      <c r="BJ10" s="956"/>
      <c r="BK10" s="1807" t="str">
        <f t="shared" ref="BK10:BP10" si="24">BD35</f>
        <v>Air</v>
      </c>
      <c r="BL10" s="1808">
        <f t="shared" si="24"/>
        <v>16844.599999999999</v>
      </c>
      <c r="BM10" s="1676">
        <f t="shared" si="24"/>
        <v>23081.162329105435</v>
      </c>
      <c r="BN10" s="1808">
        <f t="shared" si="24"/>
        <v>30719.307624814424</v>
      </c>
      <c r="BO10" s="1676">
        <f t="shared" si="24"/>
        <v>35844.016408741249</v>
      </c>
      <c r="BP10" s="1678">
        <f t="shared" si="24"/>
        <v>40968.725192668076</v>
      </c>
      <c r="BQ10" s="956"/>
      <c r="BR10" s="956"/>
      <c r="BS10" s="956"/>
      <c r="BT10" s="956"/>
      <c r="BU10" s="956"/>
      <c r="BV10" s="956"/>
      <c r="BW10" s="956"/>
      <c r="BX10" s="956"/>
      <c r="BY10" s="956"/>
      <c r="BZ10" s="956"/>
      <c r="CA10" s="956"/>
      <c r="CB10" s="956"/>
      <c r="CC10" s="956"/>
      <c r="CD10" s="956"/>
      <c r="CE10" s="956"/>
      <c r="CF10" s="956"/>
      <c r="CG10" s="956"/>
      <c r="CH10" s="956"/>
      <c r="CI10" s="956"/>
      <c r="CJ10" s="956"/>
      <c r="CK10" s="956"/>
      <c r="CL10" s="956"/>
      <c r="CM10" s="956"/>
      <c r="CN10" s="956"/>
      <c r="CO10" s="956"/>
      <c r="CP10" s="956"/>
      <c r="CQ10" s="956"/>
      <c r="CR10" s="956"/>
      <c r="CS10" s="956"/>
      <c r="CT10" s="956"/>
      <c r="CU10" s="956"/>
      <c r="CV10" s="956"/>
      <c r="CW10" s="956"/>
      <c r="CX10" s="956"/>
      <c r="CY10" s="956"/>
      <c r="CZ10" s="956"/>
    </row>
    <row r="11" spans="1:104" ht="16.5" thickBot="1" x14ac:dyDescent="0.3">
      <c r="A11" s="69"/>
      <c r="B11" s="119" t="s">
        <v>30</v>
      </c>
      <c r="C11" s="82">
        <v>2.7E-2</v>
      </c>
      <c r="D11" s="21">
        <f t="shared" si="1"/>
        <v>1.3052822611608936</v>
      </c>
      <c r="E11" s="97">
        <v>17132.672842531876</v>
      </c>
      <c r="F11" s="102">
        <f>'Scenarios technology'!D151-E11</f>
        <v>0</v>
      </c>
      <c r="G11" s="82">
        <v>2.5999999999999999E-2</v>
      </c>
      <c r="H11" s="21">
        <f t="shared" si="2"/>
        <v>1.2926281449123336</v>
      </c>
      <c r="I11" s="97">
        <v>22146.175113831894</v>
      </c>
      <c r="J11" s="102">
        <f>'Scenarios technology'!D291-I11</f>
        <v>0</v>
      </c>
      <c r="K11" s="82">
        <v>1.2999999999999999E-2</v>
      </c>
      <c r="L11" s="21">
        <f t="shared" si="3"/>
        <v>1.2947589066276175</v>
      </c>
      <c r="M11" s="97">
        <v>28673.957476368734</v>
      </c>
      <c r="N11" s="102">
        <f>'Scenarios technology'!D431-M11</f>
        <v>0</v>
      </c>
      <c r="O11" s="12">
        <f t="shared" si="4"/>
        <v>1.1845749577539251</v>
      </c>
      <c r="Q11" s="222" t="s">
        <v>326</v>
      </c>
      <c r="R11" s="1587">
        <v>0</v>
      </c>
      <c r="S11" s="1588">
        <v>0</v>
      </c>
      <c r="T11" s="1588">
        <v>0</v>
      </c>
      <c r="U11" s="1977">
        <f>1-('Scenarios technology'!D436/('Scenarios technology'!D16*((1+'Growth, Modal Shift, InfraCosts'!C16)^'Growth, Modal Shift, InfraCosts'!D4)*((1+'Growth, Modal Shift, InfraCosts'!G16)^'Growth, Modal Shift, InfraCosts'!H4)*((1+'Growth, Modal Shift, InfraCosts'!K16)^'Growth, Modal Shift, InfraCosts'!L4)))</f>
        <v>0</v>
      </c>
      <c r="V11" s="76"/>
      <c r="W11" s="76"/>
      <c r="X11" s="76"/>
      <c r="Y11" s="76"/>
      <c r="Z11" s="76"/>
      <c r="AA11" s="76"/>
      <c r="AB11" s="76"/>
      <c r="AC11" s="76"/>
      <c r="AD11" s="76"/>
      <c r="AE11" s="76"/>
      <c r="AF11" s="76"/>
      <c r="AH11" s="6"/>
      <c r="AI11" s="177" t="s">
        <v>9</v>
      </c>
      <c r="AJ11" s="191">
        <v>1</v>
      </c>
      <c r="AK11" s="192">
        <f>D30</f>
        <v>0.99989999999999979</v>
      </c>
      <c r="AL11" s="192">
        <f>I30/E30*AK11</f>
        <v>0.99989999999999979</v>
      </c>
      <c r="AM11" s="193">
        <f>M30/E30*AK11</f>
        <v>0.99989999999999979</v>
      </c>
      <c r="AP11" s="1674" t="str">
        <f t="shared" si="0"/>
        <v>&gt;50 km</v>
      </c>
      <c r="AQ11" s="1661">
        <f>'Scenarios technology'!$D11</f>
        <v>13125.645963574498</v>
      </c>
      <c r="AR11" s="1809">
        <f t="shared" si="5"/>
        <v>2.7E-2</v>
      </c>
      <c r="AS11" s="1808">
        <f t="shared" si="6"/>
        <v>17132.672842531876</v>
      </c>
      <c r="AT11" s="1810">
        <f t="shared" si="7"/>
        <v>2.5999999999999999E-2</v>
      </c>
      <c r="AU11" s="1677">
        <f t="shared" si="8"/>
        <v>22146.175113831894</v>
      </c>
      <c r="AV11" s="1809">
        <f t="shared" si="9"/>
        <v>1.2999999999999999E-2</v>
      </c>
      <c r="AW11" s="1678">
        <f t="shared" si="10"/>
        <v>28673.957476368734</v>
      </c>
      <c r="AX11" s="956"/>
      <c r="AY11" s="1674" t="str">
        <f t="shared" si="11"/>
        <v>&gt;50 km</v>
      </c>
      <c r="AZ11" s="1809">
        <f t="shared" si="12"/>
        <v>2.7E-2</v>
      </c>
      <c r="BA11" s="1810">
        <f t="shared" si="13"/>
        <v>2.5999999999999999E-2</v>
      </c>
      <c r="BB11" s="1811">
        <f t="shared" si="14"/>
        <v>1.2999999999999999E-2</v>
      </c>
      <c r="BC11" s="956"/>
      <c r="BD11" s="1674" t="str">
        <f t="shared" si="15"/>
        <v>&gt;50 km</v>
      </c>
      <c r="BE11" s="1675">
        <f t="shared" si="15"/>
        <v>13125.645963574498</v>
      </c>
      <c r="BF11" s="1676">
        <f t="shared" si="16"/>
        <v>17132.672842531876</v>
      </c>
      <c r="BG11" s="1677">
        <f t="shared" si="17"/>
        <v>22146.175113831894</v>
      </c>
      <c r="BH11" s="1676">
        <f t="shared" si="20"/>
        <v>25410.066295100314</v>
      </c>
      <c r="BI11" s="1678">
        <f t="shared" si="18"/>
        <v>28673.957476368734</v>
      </c>
      <c r="BJ11" s="956"/>
      <c r="BK11" s="1812" t="str">
        <f t="shared" ref="BK11:BP11" si="25">BD40</f>
        <v>Sea</v>
      </c>
      <c r="BL11" s="1813">
        <f t="shared" si="25"/>
        <v>924.7</v>
      </c>
      <c r="BM11" s="1814">
        <f t="shared" si="25"/>
        <v>1011.3757121804953</v>
      </c>
      <c r="BN11" s="1813">
        <f t="shared" si="25"/>
        <v>1106.1758745415855</v>
      </c>
      <c r="BO11" s="1814">
        <f t="shared" si="25"/>
        <v>1158.1403657443166</v>
      </c>
      <c r="BP11" s="1815">
        <f t="shared" si="25"/>
        <v>1210.1048569470477</v>
      </c>
      <c r="BQ11" s="956"/>
      <c r="BR11" s="956"/>
      <c r="BS11" s="956"/>
      <c r="BT11" s="956"/>
      <c r="BU11" s="956"/>
      <c r="BV11" s="956"/>
      <c r="BW11" s="956"/>
      <c r="BX11" s="956"/>
      <c r="BY11" s="956"/>
      <c r="BZ11" s="956"/>
      <c r="CA11" s="956"/>
      <c r="CB11" s="956"/>
      <c r="CC11" s="956"/>
      <c r="CD11" s="956"/>
      <c r="CE11" s="956"/>
      <c r="CF11" s="956"/>
      <c r="CG11" s="956"/>
      <c r="CH11" s="956"/>
      <c r="CI11" s="956"/>
      <c r="CJ11" s="956"/>
      <c r="CK11" s="956"/>
      <c r="CL11" s="956"/>
      <c r="CM11" s="956"/>
      <c r="CN11" s="956"/>
      <c r="CO11" s="956"/>
      <c r="CP11" s="956"/>
      <c r="CQ11" s="956"/>
      <c r="CR11" s="956"/>
      <c r="CS11" s="956"/>
      <c r="CT11" s="956"/>
      <c r="CU11" s="956"/>
      <c r="CV11" s="956"/>
      <c r="CW11" s="956"/>
      <c r="CX11" s="956"/>
      <c r="CY11" s="956"/>
      <c r="CZ11" s="956"/>
    </row>
    <row r="12" spans="1:104" ht="16.5" thickBot="1" x14ac:dyDescent="0.3">
      <c r="A12" s="69"/>
      <c r="B12" s="118" t="s">
        <v>106</v>
      </c>
      <c r="C12" s="130">
        <f>('Scenarios technology'!D152/'Scenarios technology'!D12)^(1/10)-1</f>
        <v>2.2727239607551075E-2</v>
      </c>
      <c r="D12" s="131">
        <f t="shared" si="1"/>
        <v>1.2519824245541176</v>
      </c>
      <c r="E12" s="97">
        <v>26461.960307536599</v>
      </c>
      <c r="F12" s="102">
        <f>'Scenarios technology'!D152-E12</f>
        <v>0</v>
      </c>
      <c r="G12" s="130">
        <f>('Scenarios technology'!D292/'Scenarios technology'!D152)^(1/10)-1</f>
        <v>2.2497442377088506E-2</v>
      </c>
      <c r="H12" s="131">
        <f t="shared" si="2"/>
        <v>1.249172179955115</v>
      </c>
      <c r="I12" s="97">
        <v>33055.54464325124</v>
      </c>
      <c r="J12" s="102">
        <f>'Scenarios technology'!D292-I12</f>
        <v>0</v>
      </c>
      <c r="K12" s="130">
        <f>('Scenarios technology'!D432/'Scenarios technology'!D292)^(1/20)-1</f>
        <v>1.0684941029411865E-2</v>
      </c>
      <c r="L12" s="131">
        <f t="shared" si="3"/>
        <v>1.2368467642791523</v>
      </c>
      <c r="M12" s="97">
        <v>40884.643433490419</v>
      </c>
      <c r="N12" s="102">
        <f>'Scenarios technology'!D432-M12</f>
        <v>0</v>
      </c>
      <c r="O12" s="12">
        <f t="shared" si="4"/>
        <v>0.9343561254724333</v>
      </c>
      <c r="Q12" s="222" t="s">
        <v>327</v>
      </c>
      <c r="R12" s="1587">
        <v>0</v>
      </c>
      <c r="S12" s="1588">
        <v>0</v>
      </c>
      <c r="T12" s="1588">
        <v>0</v>
      </c>
      <c r="U12" s="1978"/>
      <c r="V12" s="76"/>
      <c r="W12" s="76"/>
      <c r="X12" s="76"/>
      <c r="Y12" s="76"/>
      <c r="Z12" s="76"/>
      <c r="AA12" s="76"/>
      <c r="AB12" s="76"/>
      <c r="AC12" s="76"/>
      <c r="AD12" s="76"/>
      <c r="AE12" s="76"/>
      <c r="AF12" s="76"/>
      <c r="AH12" s="6"/>
      <c r="AI12" s="185" t="s">
        <v>0</v>
      </c>
      <c r="AJ12" s="194">
        <v>1</v>
      </c>
      <c r="AK12" s="195">
        <f>D43</f>
        <v>1.2173110106215741</v>
      </c>
      <c r="AL12" s="197">
        <f>I43/E43*AK12</f>
        <v>1.4904109204119731</v>
      </c>
      <c r="AM12" s="198">
        <f>M43/E43*AK12</f>
        <v>1.8265150147143103</v>
      </c>
      <c r="AP12" s="1674" t="str">
        <f t="shared" si="0"/>
        <v>Work</v>
      </c>
      <c r="AQ12" s="1661">
        <f>'Scenarios technology'!$D12</f>
        <v>21136.047750000002</v>
      </c>
      <c r="AR12" s="1809">
        <f t="shared" si="5"/>
        <v>2.2727239607551075E-2</v>
      </c>
      <c r="AS12" s="1808">
        <f t="shared" si="6"/>
        <v>26461.960307536599</v>
      </c>
      <c r="AT12" s="1810">
        <f t="shared" si="7"/>
        <v>2.2497442377088506E-2</v>
      </c>
      <c r="AU12" s="1677">
        <f t="shared" si="8"/>
        <v>33055.54464325124</v>
      </c>
      <c r="AV12" s="1809">
        <f t="shared" si="9"/>
        <v>1.0684941029411865E-2</v>
      </c>
      <c r="AW12" s="1678">
        <f t="shared" si="10"/>
        <v>40884.643433490419</v>
      </c>
      <c r="AX12" s="956"/>
      <c r="AY12" s="1674" t="str">
        <f t="shared" si="11"/>
        <v>Work</v>
      </c>
      <c r="AZ12" s="1809">
        <f t="shared" si="12"/>
        <v>2.2727239607551075E-2</v>
      </c>
      <c r="BA12" s="1810">
        <f t="shared" si="13"/>
        <v>2.2497442377088506E-2</v>
      </c>
      <c r="BB12" s="1811">
        <f t="shared" si="14"/>
        <v>1.0684941029411865E-2</v>
      </c>
      <c r="BC12" s="956"/>
      <c r="BD12" s="1674" t="str">
        <f t="shared" si="15"/>
        <v>Work</v>
      </c>
      <c r="BE12" s="1675">
        <f t="shared" si="15"/>
        <v>21136.047750000002</v>
      </c>
      <c r="BF12" s="1676">
        <f t="shared" si="16"/>
        <v>26461.960307536599</v>
      </c>
      <c r="BG12" s="1677">
        <f t="shared" si="17"/>
        <v>33055.54464325124</v>
      </c>
      <c r="BH12" s="1676">
        <f t="shared" si="20"/>
        <v>36970.094038370829</v>
      </c>
      <c r="BI12" s="1678">
        <f t="shared" si="18"/>
        <v>40884.643433490419</v>
      </c>
      <c r="BJ12" s="956"/>
      <c r="BK12" s="1816" t="str">
        <f t="shared" ref="BK12:BP12" si="26">BD43</f>
        <v>Total</v>
      </c>
      <c r="BL12" s="1817">
        <f t="shared" si="26"/>
        <v>89185.495608331985</v>
      </c>
      <c r="BM12" s="1818">
        <f t="shared" si="26"/>
        <v>108566.48579176463</v>
      </c>
      <c r="BN12" s="1817">
        <f t="shared" si="26"/>
        <v>132923.03659701213</v>
      </c>
      <c r="BO12" s="1818">
        <f t="shared" si="26"/>
        <v>147910.84171018389</v>
      </c>
      <c r="BP12" s="1819">
        <f t="shared" si="26"/>
        <v>162898.64682335564</v>
      </c>
      <c r="BQ12" s="956"/>
      <c r="BR12" s="956"/>
      <c r="BS12" s="956"/>
      <c r="BT12" s="956"/>
      <c r="BU12" s="956"/>
      <c r="BV12" s="956"/>
      <c r="BW12" s="956"/>
      <c r="BX12" s="956"/>
      <c r="BY12" s="956"/>
      <c r="BZ12" s="956"/>
      <c r="CA12" s="956"/>
      <c r="CB12" s="956"/>
      <c r="CC12" s="956"/>
      <c r="CD12" s="956"/>
      <c r="CE12" s="956"/>
      <c r="CF12" s="956"/>
      <c r="CG12" s="956"/>
      <c r="CH12" s="956"/>
      <c r="CI12" s="956"/>
      <c r="CJ12" s="956"/>
      <c r="CK12" s="956"/>
      <c r="CL12" s="956"/>
      <c r="CM12" s="956"/>
      <c r="CN12" s="956"/>
      <c r="CO12" s="956"/>
      <c r="CP12" s="956"/>
      <c r="CQ12" s="956"/>
      <c r="CR12" s="956"/>
      <c r="CS12" s="956"/>
      <c r="CT12" s="956"/>
      <c r="CU12" s="956"/>
      <c r="CV12" s="956"/>
      <c r="CW12" s="956"/>
      <c r="CX12" s="956"/>
      <c r="CY12" s="956"/>
      <c r="CZ12" s="956"/>
    </row>
    <row r="13" spans="1:104" ht="16.5" thickBot="1" x14ac:dyDescent="0.3">
      <c r="A13" s="89"/>
      <c r="B13" s="119" t="s">
        <v>27</v>
      </c>
      <c r="C13" s="80">
        <v>8.9999999999999993E-3</v>
      </c>
      <c r="D13" s="14">
        <f t="shared" si="1"/>
        <v>1.0937338728025254</v>
      </c>
      <c r="E13" s="97">
        <v>362.94021837314165</v>
      </c>
      <c r="F13" s="102">
        <f>'Scenarios technology'!D153-E13</f>
        <v>0</v>
      </c>
      <c r="G13" s="80">
        <v>8.9999999999999993E-3</v>
      </c>
      <c r="H13" s="14">
        <f t="shared" si="2"/>
        <v>1.0937338728025254</v>
      </c>
      <c r="I13" s="97">
        <v>396.96001063705052</v>
      </c>
      <c r="J13" s="102">
        <f>'Scenarios technology'!D293-I13</f>
        <v>0</v>
      </c>
      <c r="K13" s="80">
        <v>4.4999999999999997E-3</v>
      </c>
      <c r="L13" s="14">
        <f t="shared" si="3"/>
        <v>1.0939533981868226</v>
      </c>
      <c r="M13" s="97">
        <v>434.25575258067863</v>
      </c>
      <c r="N13" s="102">
        <f>'Scenarios technology'!D433-M13</f>
        <v>0</v>
      </c>
      <c r="O13" s="12">
        <f t="shared" si="4"/>
        <v>0.30864589266469955</v>
      </c>
      <c r="Q13" s="222" t="s">
        <v>328</v>
      </c>
      <c r="R13" s="1587">
        <v>0</v>
      </c>
      <c r="S13" s="1588">
        <v>0</v>
      </c>
      <c r="T13" s="1588">
        <v>0</v>
      </c>
      <c r="U13" s="1979"/>
      <c r="V13" s="76"/>
      <c r="W13" s="76"/>
      <c r="X13" s="76"/>
      <c r="Y13" s="76"/>
      <c r="Z13" s="76"/>
      <c r="AA13" s="76"/>
      <c r="AB13" s="76"/>
      <c r="AC13" s="76"/>
      <c r="AD13" s="76"/>
      <c r="AE13" s="76"/>
      <c r="AF13" s="76"/>
      <c r="AH13" s="6"/>
      <c r="AI13" s="8"/>
      <c r="AK13" s="192"/>
      <c r="AL13" s="192"/>
      <c r="AM13" s="192"/>
      <c r="AP13" s="1674" t="str">
        <f t="shared" si="0"/>
        <v>&lt; 5km</v>
      </c>
      <c r="AQ13" s="1661">
        <f>'Scenarios technology'!$D13</f>
        <v>331.83594967499999</v>
      </c>
      <c r="AR13" s="1809">
        <f t="shared" si="5"/>
        <v>8.9999999999999993E-3</v>
      </c>
      <c r="AS13" s="1808">
        <f t="shared" si="6"/>
        <v>362.94021837314165</v>
      </c>
      <c r="AT13" s="1810">
        <f t="shared" si="7"/>
        <v>8.9999999999999993E-3</v>
      </c>
      <c r="AU13" s="1677">
        <f t="shared" si="8"/>
        <v>396.96001063705052</v>
      </c>
      <c r="AV13" s="1809">
        <f t="shared" si="9"/>
        <v>4.4999999999999997E-3</v>
      </c>
      <c r="AW13" s="1678">
        <f t="shared" si="10"/>
        <v>434.25575258067863</v>
      </c>
      <c r="AX13" s="956"/>
      <c r="AY13" s="1674" t="str">
        <f t="shared" si="11"/>
        <v>&lt; 5km</v>
      </c>
      <c r="AZ13" s="1809">
        <f t="shared" si="12"/>
        <v>8.9999999999999993E-3</v>
      </c>
      <c r="BA13" s="1810">
        <f t="shared" si="13"/>
        <v>8.9999999999999993E-3</v>
      </c>
      <c r="BB13" s="1811">
        <f t="shared" si="14"/>
        <v>4.4999999999999997E-3</v>
      </c>
      <c r="BC13" s="956"/>
      <c r="BD13" s="1674" t="str">
        <f t="shared" si="15"/>
        <v>&lt; 5km</v>
      </c>
      <c r="BE13" s="1675">
        <f t="shared" si="15"/>
        <v>331.83594967499999</v>
      </c>
      <c r="BF13" s="1676">
        <f t="shared" si="16"/>
        <v>362.94021837314165</v>
      </c>
      <c r="BG13" s="1677">
        <f t="shared" si="17"/>
        <v>396.96001063705052</v>
      </c>
      <c r="BH13" s="1676">
        <f t="shared" si="20"/>
        <v>415.60788160886455</v>
      </c>
      <c r="BI13" s="1678">
        <f t="shared" si="18"/>
        <v>434.25575258067863</v>
      </c>
      <c r="BJ13" s="956"/>
      <c r="BK13" s="956"/>
      <c r="BL13" s="956"/>
      <c r="BM13" s="956"/>
      <c r="BN13" s="956"/>
      <c r="BO13" s="956"/>
      <c r="BP13" s="956"/>
      <c r="BQ13" s="956"/>
      <c r="BR13" s="956"/>
      <c r="BS13" s="956"/>
      <c r="BT13" s="956"/>
      <c r="BU13" s="956"/>
      <c r="BV13" s="956"/>
      <c r="BW13" s="956"/>
      <c r="BX13" s="956"/>
      <c r="BY13" s="956"/>
      <c r="BZ13" s="956"/>
      <c r="CA13" s="956"/>
      <c r="CB13" s="956"/>
      <c r="CC13" s="956"/>
      <c r="CD13" s="956"/>
      <c r="CE13" s="956"/>
      <c r="CF13" s="956"/>
      <c r="CG13" s="956"/>
      <c r="CH13" s="956"/>
      <c r="CI13" s="956"/>
      <c r="CJ13" s="956"/>
      <c r="CK13" s="956"/>
      <c r="CL13" s="956"/>
      <c r="CM13" s="956"/>
      <c r="CN13" s="956"/>
      <c r="CO13" s="956"/>
      <c r="CP13" s="956"/>
      <c r="CQ13" s="956"/>
      <c r="CR13" s="956"/>
      <c r="CS13" s="956"/>
      <c r="CT13" s="956"/>
      <c r="CU13" s="956"/>
      <c r="CV13" s="956"/>
      <c r="CW13" s="956"/>
      <c r="CX13" s="956"/>
      <c r="CY13" s="956"/>
      <c r="CZ13" s="956"/>
    </row>
    <row r="14" spans="1:104" ht="15.75" customHeight="1" thickBot="1" x14ac:dyDescent="0.3">
      <c r="A14" s="69"/>
      <c r="B14" s="119" t="s">
        <v>28</v>
      </c>
      <c r="C14" s="81">
        <v>8.9999999999999993E-3</v>
      </c>
      <c r="D14" s="14">
        <f t="shared" si="1"/>
        <v>1.0937338728025254</v>
      </c>
      <c r="E14" s="97">
        <v>5418.6743430996439</v>
      </c>
      <c r="F14" s="102">
        <f>'Scenarios technology'!D154-E14</f>
        <v>0</v>
      </c>
      <c r="G14" s="81">
        <v>8.9999999999999993E-3</v>
      </c>
      <c r="H14" s="14">
        <f t="shared" si="2"/>
        <v>1.0937338728025254</v>
      </c>
      <c r="I14" s="97">
        <v>5926.5876747340544</v>
      </c>
      <c r="J14" s="102">
        <f>'Scenarios technology'!D294-I14</f>
        <v>0</v>
      </c>
      <c r="K14" s="81">
        <v>4.4999999999999997E-3</v>
      </c>
      <c r="L14" s="14">
        <f t="shared" si="3"/>
        <v>1.0939533981868226</v>
      </c>
      <c r="M14" s="97">
        <v>6483.410726427458</v>
      </c>
      <c r="N14" s="102">
        <f>'Scenarios technology'!D434-M14</f>
        <v>0</v>
      </c>
      <c r="O14" s="12">
        <f t="shared" si="4"/>
        <v>0.30864589266469955</v>
      </c>
      <c r="Q14" s="222" t="s">
        <v>160</v>
      </c>
      <c r="R14" s="1587">
        <v>0</v>
      </c>
      <c r="S14" s="1588">
        <v>0</v>
      </c>
      <c r="T14" s="1588">
        <v>0</v>
      </c>
      <c r="U14" s="293">
        <f>1-'Scenarios technology'!D451/(('Scenarios technology'!D31)*(O24+1))</f>
        <v>0</v>
      </c>
      <c r="V14" s="76"/>
      <c r="W14" s="76"/>
      <c r="X14" s="76"/>
      <c r="Y14" s="76"/>
      <c r="Z14" s="76"/>
      <c r="AA14" s="76"/>
      <c r="AB14" s="76"/>
      <c r="AC14" s="76"/>
      <c r="AD14" s="76"/>
      <c r="AE14" s="76"/>
      <c r="AF14" s="76"/>
      <c r="AH14" s="6"/>
      <c r="AI14" s="183" t="s">
        <v>145</v>
      </c>
      <c r="AJ14" s="100">
        <v>2010</v>
      </c>
      <c r="AK14" s="163">
        <v>2020</v>
      </c>
      <c r="AL14" s="163">
        <v>2030</v>
      </c>
      <c r="AM14" s="164">
        <v>2050</v>
      </c>
      <c r="AP14" s="1674" t="str">
        <f t="shared" si="0"/>
        <v>5-25 km</v>
      </c>
      <c r="AQ14" s="1661">
        <f>'Scenarios technology'!$D14</f>
        <v>4954.2895926000001</v>
      </c>
      <c r="AR14" s="1809">
        <f t="shared" si="5"/>
        <v>8.9999999999999993E-3</v>
      </c>
      <c r="AS14" s="1808">
        <f t="shared" si="6"/>
        <v>5418.6743430996439</v>
      </c>
      <c r="AT14" s="1810">
        <f t="shared" si="7"/>
        <v>8.9999999999999993E-3</v>
      </c>
      <c r="AU14" s="1677">
        <f t="shared" si="8"/>
        <v>5926.5876747340544</v>
      </c>
      <c r="AV14" s="1809">
        <f t="shared" si="9"/>
        <v>4.4999999999999997E-3</v>
      </c>
      <c r="AW14" s="1678">
        <f t="shared" si="10"/>
        <v>6483.410726427458</v>
      </c>
      <c r="AX14" s="956"/>
      <c r="AY14" s="1674" t="str">
        <f t="shared" si="11"/>
        <v>5-25 km</v>
      </c>
      <c r="AZ14" s="1809">
        <f t="shared" si="12"/>
        <v>8.9999999999999993E-3</v>
      </c>
      <c r="BA14" s="1810">
        <f t="shared" si="13"/>
        <v>8.9999999999999993E-3</v>
      </c>
      <c r="BB14" s="1811">
        <f t="shared" si="14"/>
        <v>4.4999999999999997E-3</v>
      </c>
      <c r="BC14" s="956"/>
      <c r="BD14" s="1674" t="str">
        <f t="shared" si="15"/>
        <v>5-25 km</v>
      </c>
      <c r="BE14" s="1675">
        <f t="shared" si="15"/>
        <v>4954.2895926000001</v>
      </c>
      <c r="BF14" s="1676">
        <f t="shared" si="16"/>
        <v>5418.6743430996439</v>
      </c>
      <c r="BG14" s="1677">
        <f t="shared" si="17"/>
        <v>5926.5876747340544</v>
      </c>
      <c r="BH14" s="1676">
        <f t="shared" si="20"/>
        <v>6204.9992005807562</v>
      </c>
      <c r="BI14" s="1678">
        <f t="shared" si="18"/>
        <v>6483.410726427458</v>
      </c>
      <c r="BJ14" s="956"/>
      <c r="BK14" s="956"/>
      <c r="BL14" s="956"/>
      <c r="BM14" s="956"/>
      <c r="BN14" s="956"/>
      <c r="BO14" s="956"/>
      <c r="BP14" s="956"/>
      <c r="BQ14" s="956"/>
      <c r="BR14" s="956"/>
      <c r="BS14" s="956"/>
      <c r="BT14" s="956"/>
      <c r="BU14" s="956"/>
      <c r="BV14" s="956"/>
      <c r="BW14" s="956"/>
      <c r="BX14" s="956"/>
      <c r="BY14" s="956"/>
      <c r="BZ14" s="956"/>
      <c r="CA14" s="956"/>
      <c r="CB14" s="956"/>
      <c r="CC14" s="956"/>
      <c r="CD14" s="956"/>
      <c r="CE14" s="956"/>
      <c r="CF14" s="956"/>
      <c r="CG14" s="956"/>
      <c r="CH14" s="956"/>
      <c r="CI14" s="956"/>
      <c r="CJ14" s="956"/>
      <c r="CK14" s="956"/>
      <c r="CL14" s="956"/>
      <c r="CM14" s="956"/>
      <c r="CN14" s="956"/>
      <c r="CO14" s="956"/>
      <c r="CP14" s="956"/>
      <c r="CQ14" s="956"/>
      <c r="CR14" s="956"/>
      <c r="CS14" s="956"/>
      <c r="CT14" s="956"/>
      <c r="CU14" s="956"/>
      <c r="CV14" s="956"/>
      <c r="CW14" s="956"/>
      <c r="CX14" s="956"/>
      <c r="CY14" s="956"/>
      <c r="CZ14" s="956"/>
    </row>
    <row r="15" spans="1:104" ht="16.5" thickBot="1" x14ac:dyDescent="0.3">
      <c r="A15" s="69"/>
      <c r="B15" s="119" t="s">
        <v>29</v>
      </c>
      <c r="C15" s="81">
        <v>2.7E-2</v>
      </c>
      <c r="D15" s="14">
        <f t="shared" si="1"/>
        <v>1.3052822611608936</v>
      </c>
      <c r="E15" s="97">
        <v>7493.0388268822462</v>
      </c>
      <c r="F15" s="102">
        <f>'Scenarios technology'!D155-E15</f>
        <v>0</v>
      </c>
      <c r="G15" s="81">
        <v>2.5999999999999999E-2</v>
      </c>
      <c r="H15" s="14">
        <f t="shared" si="2"/>
        <v>1.2926281449123336</v>
      </c>
      <c r="I15" s="97">
        <v>9685.7128785488858</v>
      </c>
      <c r="J15" s="102">
        <f>'Scenarios technology'!D295-I15</f>
        <v>0</v>
      </c>
      <c r="K15" s="81">
        <v>1.2999999999999999E-2</v>
      </c>
      <c r="L15" s="14">
        <f t="shared" si="3"/>
        <v>1.2947589066276175</v>
      </c>
      <c r="M15" s="97">
        <v>12540.663016538989</v>
      </c>
      <c r="N15" s="102">
        <f>'Scenarios technology'!D435-M15</f>
        <v>0</v>
      </c>
      <c r="O15" s="12">
        <f t="shared" si="4"/>
        <v>1.1845749577539251</v>
      </c>
      <c r="P15" s="221"/>
      <c r="Q15" s="222" t="s">
        <v>63</v>
      </c>
      <c r="R15" s="1587">
        <v>0</v>
      </c>
      <c r="S15" s="1588">
        <v>0</v>
      </c>
      <c r="T15" s="1588">
        <v>0</v>
      </c>
      <c r="U15" s="293">
        <f>1-('Scenarios technology'!D469)/('Scenarios technology'!D49*('Growth, Modal Shift, InfraCosts'!O38+1))</f>
        <v>0</v>
      </c>
      <c r="V15" s="7"/>
      <c r="W15" s="76"/>
      <c r="X15" s="76"/>
      <c r="Y15" s="76"/>
      <c r="Z15" s="76"/>
      <c r="AA15" s="76"/>
      <c r="AB15" s="76"/>
      <c r="AC15" s="76"/>
      <c r="AD15" s="76"/>
      <c r="AE15" s="76"/>
      <c r="AF15" s="76"/>
      <c r="AH15" s="6"/>
      <c r="AI15" s="184" t="s">
        <v>14</v>
      </c>
      <c r="AJ15" s="45" t="s">
        <v>146</v>
      </c>
      <c r="AK15" s="43" t="s">
        <v>146</v>
      </c>
      <c r="AL15" s="43" t="s">
        <v>146</v>
      </c>
      <c r="AM15" s="46" t="s">
        <v>146</v>
      </c>
      <c r="AP15" s="1674" t="str">
        <f t="shared" si="0"/>
        <v>25-50km</v>
      </c>
      <c r="AQ15" s="1661">
        <f>'Scenarios technology'!$D15</f>
        <v>5740.5505689000001</v>
      </c>
      <c r="AR15" s="1809">
        <f t="shared" si="5"/>
        <v>2.7E-2</v>
      </c>
      <c r="AS15" s="1808">
        <f t="shared" si="6"/>
        <v>7493.0388268822462</v>
      </c>
      <c r="AT15" s="1810">
        <f t="shared" si="7"/>
        <v>2.5999999999999999E-2</v>
      </c>
      <c r="AU15" s="1677">
        <f t="shared" si="8"/>
        <v>9685.7128785488858</v>
      </c>
      <c r="AV15" s="1809">
        <f t="shared" si="9"/>
        <v>1.2999999999999999E-2</v>
      </c>
      <c r="AW15" s="1678">
        <f t="shared" si="10"/>
        <v>12540.663016538989</v>
      </c>
      <c r="AX15" s="956"/>
      <c r="AY15" s="1674" t="str">
        <f t="shared" si="11"/>
        <v>25-50km</v>
      </c>
      <c r="AZ15" s="1809">
        <f t="shared" si="12"/>
        <v>2.7E-2</v>
      </c>
      <c r="BA15" s="1810">
        <f t="shared" si="13"/>
        <v>2.5999999999999999E-2</v>
      </c>
      <c r="BB15" s="1811">
        <f t="shared" si="14"/>
        <v>1.2999999999999999E-2</v>
      </c>
      <c r="BC15" s="956"/>
      <c r="BD15" s="1674" t="str">
        <f t="shared" si="15"/>
        <v>25-50km</v>
      </c>
      <c r="BE15" s="1675">
        <f t="shared" si="15"/>
        <v>5740.5505689000001</v>
      </c>
      <c r="BF15" s="1676">
        <f t="shared" si="16"/>
        <v>7493.0388268822462</v>
      </c>
      <c r="BG15" s="1677">
        <f t="shared" si="17"/>
        <v>9685.7128785488858</v>
      </c>
      <c r="BH15" s="1676">
        <f t="shared" si="20"/>
        <v>11113.187947543938</v>
      </c>
      <c r="BI15" s="1678">
        <f t="shared" si="18"/>
        <v>12540.663016538989</v>
      </c>
      <c r="BJ15" s="956"/>
      <c r="BK15" s="1965" t="s">
        <v>516</v>
      </c>
      <c r="BL15" s="1966"/>
      <c r="BM15" s="1966"/>
      <c r="BN15" s="1966"/>
      <c r="BO15" s="1966"/>
      <c r="BP15" s="1967"/>
      <c r="BQ15" s="956"/>
      <c r="BR15" s="956"/>
      <c r="BS15" s="956"/>
      <c r="BT15" s="956"/>
      <c r="BU15" s="956"/>
      <c r="BV15" s="956"/>
      <c r="BW15" s="956"/>
      <c r="BX15" s="956"/>
      <c r="BY15" s="956"/>
      <c r="BZ15" s="956"/>
      <c r="CA15" s="956"/>
      <c r="CB15" s="956"/>
      <c r="CC15" s="956"/>
      <c r="CD15" s="956"/>
      <c r="CE15" s="956"/>
      <c r="CF15" s="956"/>
      <c r="CG15" s="956"/>
      <c r="CH15" s="956"/>
      <c r="CI15" s="956"/>
      <c r="CJ15" s="956"/>
      <c r="CK15" s="956"/>
      <c r="CL15" s="956"/>
      <c r="CM15" s="956"/>
      <c r="CN15" s="956"/>
      <c r="CO15" s="956"/>
      <c r="CP15" s="956"/>
      <c r="CQ15" s="956"/>
      <c r="CR15" s="956"/>
      <c r="CS15" s="956"/>
      <c r="CT15" s="956"/>
      <c r="CU15" s="956"/>
      <c r="CV15" s="956"/>
      <c r="CW15" s="956"/>
      <c r="CX15" s="956"/>
      <c r="CY15" s="956"/>
      <c r="CZ15" s="956"/>
    </row>
    <row r="16" spans="1:104" ht="15.75" x14ac:dyDescent="0.25">
      <c r="A16" s="69"/>
      <c r="B16" s="119" t="s">
        <v>30</v>
      </c>
      <c r="C16" s="81">
        <v>2.7E-2</v>
      </c>
      <c r="D16" s="14">
        <f t="shared" si="1"/>
        <v>1.3052822611608936</v>
      </c>
      <c r="E16" s="97">
        <v>13187.306919181567</v>
      </c>
      <c r="F16" s="102">
        <f>'Scenarios technology'!D156-E16</f>
        <v>0</v>
      </c>
      <c r="G16" s="81">
        <v>2.5999999999999999E-2</v>
      </c>
      <c r="H16" s="14">
        <f t="shared" si="2"/>
        <v>1.2926281449123336</v>
      </c>
      <c r="I16" s="97">
        <v>17046.28407933125</v>
      </c>
      <c r="J16" s="102">
        <f>'Scenarios technology'!D296-I16</f>
        <v>0</v>
      </c>
      <c r="K16" s="81">
        <v>1.15E-2</v>
      </c>
      <c r="L16" s="14">
        <f t="shared" si="3"/>
        <v>1.2569492470164139</v>
      </c>
      <c r="M16" s="97">
        <v>21426.313937943298</v>
      </c>
      <c r="N16" s="102">
        <f>'Scenarios technology'!D436-M16</f>
        <v>0</v>
      </c>
      <c r="O16" s="12">
        <f t="shared" si="4"/>
        <v>1.1207808142071753</v>
      </c>
      <c r="P16" s="73"/>
      <c r="Q16" s="222" t="s">
        <v>206</v>
      </c>
      <c r="R16" s="1587">
        <v>0</v>
      </c>
      <c r="S16" s="1588">
        <v>0</v>
      </c>
      <c r="T16" s="1588">
        <v>0</v>
      </c>
      <c r="U16" s="293">
        <f>1-('Scenarios technology'!D467/('Scenarios technology'!D47*('Growth, Modal Shift, InfraCosts'!O36+1)))</f>
        <v>0</v>
      </c>
      <c r="V16" s="76"/>
      <c r="W16" s="76"/>
      <c r="X16" s="76"/>
      <c r="Y16" s="76"/>
      <c r="Z16" s="76"/>
      <c r="AA16" s="76"/>
      <c r="AB16" s="76"/>
      <c r="AC16" s="76"/>
      <c r="AD16" s="76"/>
      <c r="AE16" s="76"/>
      <c r="AF16" s="76"/>
      <c r="AH16" s="6"/>
      <c r="AI16" s="178" t="s">
        <v>15</v>
      </c>
      <c r="AJ16" s="199">
        <v>1</v>
      </c>
      <c r="AK16" s="192">
        <f>D47</f>
        <v>1.2434137975041715</v>
      </c>
      <c r="AL16" s="192">
        <f>I47/E47*AK16</f>
        <v>1.5455628917493727</v>
      </c>
      <c r="AM16" s="193">
        <f>M47/E47*AK16</f>
        <v>1.9239816584914819</v>
      </c>
      <c r="AP16" s="1674" t="str">
        <f t="shared" si="0"/>
        <v>&gt;50 km</v>
      </c>
      <c r="AQ16" s="1661">
        <f>'Scenarios technology'!$D16</f>
        <v>10103.0308245</v>
      </c>
      <c r="AR16" s="1809">
        <f t="shared" si="5"/>
        <v>2.7E-2</v>
      </c>
      <c r="AS16" s="1808">
        <f t="shared" si="6"/>
        <v>13187.306919181567</v>
      </c>
      <c r="AT16" s="1810">
        <f t="shared" si="7"/>
        <v>2.5999999999999999E-2</v>
      </c>
      <c r="AU16" s="1677">
        <f t="shared" si="8"/>
        <v>17046.28407933125</v>
      </c>
      <c r="AV16" s="1809">
        <f t="shared" si="9"/>
        <v>1.15E-2</v>
      </c>
      <c r="AW16" s="1678">
        <f t="shared" si="10"/>
        <v>21426.313937943298</v>
      </c>
      <c r="AX16" s="956"/>
      <c r="AY16" s="1674" t="str">
        <f t="shared" si="11"/>
        <v>&gt;50 km</v>
      </c>
      <c r="AZ16" s="1809">
        <f t="shared" si="12"/>
        <v>2.7E-2</v>
      </c>
      <c r="BA16" s="1810">
        <f t="shared" si="13"/>
        <v>2.5999999999999999E-2</v>
      </c>
      <c r="BB16" s="1811">
        <f t="shared" si="14"/>
        <v>1.15E-2</v>
      </c>
      <c r="BC16" s="956"/>
      <c r="BD16" s="1674" t="str">
        <f t="shared" si="15"/>
        <v>&gt;50 km</v>
      </c>
      <c r="BE16" s="1675">
        <f t="shared" si="15"/>
        <v>10103.0308245</v>
      </c>
      <c r="BF16" s="1676">
        <f t="shared" si="16"/>
        <v>13187.306919181567</v>
      </c>
      <c r="BG16" s="1677">
        <f t="shared" si="17"/>
        <v>17046.28407933125</v>
      </c>
      <c r="BH16" s="1676">
        <f t="shared" si="20"/>
        <v>19236.299008637274</v>
      </c>
      <c r="BI16" s="1678">
        <f t="shared" si="18"/>
        <v>21426.313937943298</v>
      </c>
      <c r="BJ16" s="956"/>
      <c r="BK16" s="1799" t="str">
        <f>BK5</f>
        <v>Year</v>
      </c>
      <c r="BL16" s="1800">
        <f t="shared" ref="BL16:BP16" si="27">BL5</f>
        <v>2010</v>
      </c>
      <c r="BM16" s="1801">
        <f t="shared" si="27"/>
        <v>2020</v>
      </c>
      <c r="BN16" s="1800">
        <f t="shared" si="27"/>
        <v>2030</v>
      </c>
      <c r="BO16" s="1801">
        <f t="shared" si="27"/>
        <v>2040</v>
      </c>
      <c r="BP16" s="1802">
        <f t="shared" si="27"/>
        <v>2050</v>
      </c>
      <c r="BQ16" s="956"/>
      <c r="BR16" s="956"/>
      <c r="BS16" s="956"/>
      <c r="BT16" s="956"/>
      <c r="BU16" s="956"/>
      <c r="BV16" s="956"/>
      <c r="BW16" s="956"/>
      <c r="BX16" s="956"/>
      <c r="BY16" s="956"/>
      <c r="BZ16" s="956"/>
      <c r="CA16" s="956"/>
      <c r="CB16" s="956"/>
      <c r="CC16" s="956"/>
      <c r="CD16" s="956"/>
      <c r="CE16" s="956"/>
      <c r="CF16" s="956"/>
      <c r="CG16" s="956"/>
      <c r="CH16" s="956"/>
      <c r="CI16" s="956"/>
      <c r="CJ16" s="956"/>
      <c r="CK16" s="956"/>
      <c r="CL16" s="956"/>
      <c r="CM16" s="956"/>
      <c r="CN16" s="956"/>
      <c r="CO16" s="956"/>
      <c r="CP16" s="956"/>
      <c r="CQ16" s="956"/>
      <c r="CR16" s="956"/>
      <c r="CS16" s="956"/>
      <c r="CT16" s="956"/>
      <c r="CU16" s="956"/>
      <c r="CV16" s="956"/>
      <c r="CW16" s="956"/>
      <c r="CX16" s="956"/>
      <c r="CY16" s="956"/>
      <c r="CZ16" s="956"/>
    </row>
    <row r="17" spans="1:104" ht="16.5" thickBot="1" x14ac:dyDescent="0.3">
      <c r="A17" s="69"/>
      <c r="B17" s="118" t="s">
        <v>73</v>
      </c>
      <c r="C17" s="82">
        <v>2.1999999999999999E-2</v>
      </c>
      <c r="D17" s="14">
        <f t="shared" si="1"/>
        <v>1.2431082765868484</v>
      </c>
      <c r="E17" s="97">
        <v>2574.9744841219981</v>
      </c>
      <c r="F17" s="102">
        <f>'Scenarios technology'!D157-E17</f>
        <v>0</v>
      </c>
      <c r="G17" s="82">
        <v>2.1999999999999999E-2</v>
      </c>
      <c r="H17" s="14">
        <f t="shared" si="2"/>
        <v>1.2431082765868484</v>
      </c>
      <c r="I17" s="97">
        <v>3200.9720932120063</v>
      </c>
      <c r="J17" s="102">
        <f>'Scenarios technology'!D297-I17</f>
        <v>0</v>
      </c>
      <c r="K17" s="82">
        <v>1.0999999999999999E-2</v>
      </c>
      <c r="L17" s="14">
        <f t="shared" si="3"/>
        <v>1.2445808427834559</v>
      </c>
      <c r="M17" s="97">
        <v>3983.8685454961219</v>
      </c>
      <c r="N17" s="102">
        <f>'Scenarios technology'!D437-M17</f>
        <v>0</v>
      </c>
      <c r="O17" s="12">
        <f t="shared" si="4"/>
        <v>0.92327341194174051</v>
      </c>
      <c r="Q17" s="223" t="s">
        <v>329</v>
      </c>
      <c r="R17" s="1590">
        <v>0</v>
      </c>
      <c r="S17" s="1591">
        <v>0</v>
      </c>
      <c r="T17" s="1591">
        <v>0</v>
      </c>
      <c r="U17" s="125">
        <f>1-('Scenarios technology'!D437/('Scenarios technology'!D17*('Growth, Modal Shift, InfraCosts'!O17+1)))</f>
        <v>0</v>
      </c>
      <c r="AG17" s="7"/>
      <c r="AH17" s="6"/>
      <c r="AI17" s="179" t="s">
        <v>16</v>
      </c>
      <c r="AJ17" s="200">
        <v>1</v>
      </c>
      <c r="AK17" s="171">
        <f>D51</f>
        <v>1.1080253385055916</v>
      </c>
      <c r="AL17" s="192">
        <f>I51/E51*AK17</f>
        <v>1.2437895153238636</v>
      </c>
      <c r="AM17" s="193">
        <f>M51/E51*AK17</f>
        <v>1.4072187431620771</v>
      </c>
      <c r="AP17" s="1674" t="str">
        <f t="shared" si="0"/>
        <v>International</v>
      </c>
      <c r="AQ17" s="1661">
        <f>'Scenarios technology'!$D17</f>
        <v>2071.4</v>
      </c>
      <c r="AR17" s="1809">
        <f t="shared" si="5"/>
        <v>2.1999999999999999E-2</v>
      </c>
      <c r="AS17" s="1808">
        <f t="shared" si="6"/>
        <v>2574.9744841219981</v>
      </c>
      <c r="AT17" s="1810">
        <f t="shared" si="7"/>
        <v>2.1999999999999999E-2</v>
      </c>
      <c r="AU17" s="1677">
        <f t="shared" si="8"/>
        <v>3200.9720932120063</v>
      </c>
      <c r="AV17" s="1809">
        <f t="shared" si="9"/>
        <v>1.0999999999999999E-2</v>
      </c>
      <c r="AW17" s="1678">
        <f t="shared" si="10"/>
        <v>3983.8685454961219</v>
      </c>
      <c r="AX17" s="956"/>
      <c r="AY17" s="1674" t="str">
        <f t="shared" si="11"/>
        <v>International</v>
      </c>
      <c r="AZ17" s="1809">
        <f t="shared" si="12"/>
        <v>2.1999999999999999E-2</v>
      </c>
      <c r="BA17" s="1810">
        <f t="shared" si="13"/>
        <v>2.1999999999999999E-2</v>
      </c>
      <c r="BB17" s="1811">
        <f t="shared" si="14"/>
        <v>1.0999999999999999E-2</v>
      </c>
      <c r="BC17" s="956"/>
      <c r="BD17" s="1674" t="str">
        <f t="shared" si="15"/>
        <v>International</v>
      </c>
      <c r="BE17" s="1675">
        <f t="shared" si="15"/>
        <v>2071.4</v>
      </c>
      <c r="BF17" s="1676">
        <f t="shared" si="16"/>
        <v>2574.9744841219981</v>
      </c>
      <c r="BG17" s="1677">
        <f t="shared" si="17"/>
        <v>3200.9720932120063</v>
      </c>
      <c r="BH17" s="1676">
        <f t="shared" si="20"/>
        <v>3592.4203193540643</v>
      </c>
      <c r="BI17" s="1678">
        <f t="shared" si="18"/>
        <v>3983.8685454961219</v>
      </c>
      <c r="BJ17" s="956"/>
      <c r="BK17" s="1807" t="str">
        <f t="shared" ref="BK17:BK23" si="28">BK6</f>
        <v>Bicycle/walking</v>
      </c>
      <c r="BL17" s="1820">
        <f>BL6/BL$12</f>
        <v>3.6422092753706815E-2</v>
      </c>
      <c r="BM17" s="1821">
        <f t="shared" ref="BM17:BP17" si="29">BM6/BM$12</f>
        <v>2.9917129005376953E-2</v>
      </c>
      <c r="BN17" s="1820">
        <f t="shared" si="29"/>
        <v>2.4435174250041585E-2</v>
      </c>
      <c r="BO17" s="1821">
        <f t="shared" si="29"/>
        <v>2.1959158122139309E-2</v>
      </c>
      <c r="BP17" s="1822">
        <f t="shared" si="29"/>
        <v>1.993876330117534E-2</v>
      </c>
      <c r="BQ17" s="956"/>
      <c r="BR17" s="956"/>
      <c r="BS17" s="956"/>
      <c r="BT17" s="956"/>
      <c r="BU17" s="956"/>
      <c r="BV17" s="956"/>
      <c r="BW17" s="956"/>
      <c r="BX17" s="956"/>
      <c r="BY17" s="956"/>
      <c r="BZ17" s="956"/>
      <c r="CA17" s="956"/>
      <c r="CB17" s="956"/>
      <c r="CC17" s="956"/>
      <c r="CD17" s="956"/>
      <c r="CE17" s="956"/>
      <c r="CF17" s="956"/>
      <c r="CG17" s="956"/>
      <c r="CH17" s="956"/>
      <c r="CI17" s="956"/>
      <c r="CJ17" s="956"/>
      <c r="CK17" s="956"/>
      <c r="CL17" s="956"/>
      <c r="CM17" s="956"/>
      <c r="CN17" s="956"/>
      <c r="CO17" s="956"/>
      <c r="CP17" s="956"/>
      <c r="CQ17" s="956"/>
      <c r="CR17" s="956"/>
      <c r="CS17" s="956"/>
      <c r="CT17" s="956"/>
      <c r="CU17" s="956"/>
      <c r="CV17" s="956"/>
      <c r="CW17" s="956"/>
      <c r="CX17" s="956"/>
      <c r="CY17" s="956"/>
      <c r="CZ17" s="956"/>
    </row>
    <row r="18" spans="1:104" ht="15.75" x14ac:dyDescent="0.25">
      <c r="A18" s="89"/>
      <c r="B18" s="129" t="s">
        <v>76</v>
      </c>
      <c r="C18" s="91">
        <f>('Scenarios technology'!D164/'Scenarios technology'!D24)^(1/10)-1</f>
        <v>2.4999999999999467E-3</v>
      </c>
      <c r="D18" s="110">
        <f t="shared" si="1"/>
        <v>1.0252831332277852</v>
      </c>
      <c r="E18" s="111">
        <v>7461.933747396828</v>
      </c>
      <c r="F18" s="112">
        <f>'Scenarios technology'!D164-E18</f>
        <v>0</v>
      </c>
      <c r="G18" s="91">
        <f>('Scenarios technology'!D304/'Scenarios technology'!D164)^(1/10)-1</f>
        <v>1.1506938935049726E-2</v>
      </c>
      <c r="H18" s="110">
        <f t="shared" si="2"/>
        <v>1.1212143919929545</v>
      </c>
      <c r="I18" s="111">
        <v>8366.4275096792499</v>
      </c>
      <c r="J18" s="112">
        <f>'Scenarios technology'!D304-I18</f>
        <v>0</v>
      </c>
      <c r="K18" s="91">
        <f>('Scenarios technology'!D444/'Scenarios technology'!D304)^(1/20)-1</f>
        <v>1.2499999999999734E-3</v>
      </c>
      <c r="L18" s="110">
        <f t="shared" si="3"/>
        <v>1.0252991134385754</v>
      </c>
      <c r="M18" s="111">
        <v>8578.0907083222428</v>
      </c>
      <c r="N18" s="112">
        <f>'Scenarios technology'!D444-M18</f>
        <v>0</v>
      </c>
      <c r="O18" s="113">
        <f t="shared" si="4"/>
        <v>0.1786451094676349</v>
      </c>
      <c r="Q18" s="7"/>
      <c r="R18" s="7"/>
      <c r="S18" s="7"/>
      <c r="T18" s="7"/>
      <c r="U18" s="7"/>
      <c r="AG18" s="7"/>
      <c r="AH18" s="6"/>
      <c r="AI18" s="179" t="s">
        <v>18</v>
      </c>
      <c r="AJ18" s="200">
        <v>1</v>
      </c>
      <c r="AK18" s="171">
        <f>D55</f>
        <v>1.2431082765868484</v>
      </c>
      <c r="AL18" s="192">
        <f>I55/E55*AK18</f>
        <v>1.5453181873187245</v>
      </c>
      <c r="AM18" s="193">
        <f>M55/E55*AK18</f>
        <v>1.9232734119417405</v>
      </c>
      <c r="AP18" s="1695" t="str">
        <f t="shared" si="0"/>
        <v>Rail</v>
      </c>
      <c r="AQ18" s="1696">
        <f>'Scenarios technology'!$D24</f>
        <v>7277.9250000000002</v>
      </c>
      <c r="AR18" s="1823">
        <f t="shared" si="5"/>
        <v>2.4999999999999467E-3</v>
      </c>
      <c r="AS18" s="1824">
        <f t="shared" si="6"/>
        <v>7461.933747396828</v>
      </c>
      <c r="AT18" s="1825">
        <f t="shared" si="7"/>
        <v>1.1506938935049726E-2</v>
      </c>
      <c r="AU18" s="1698">
        <f t="shared" si="8"/>
        <v>8366.4275096792499</v>
      </c>
      <c r="AV18" s="1823">
        <f t="shared" si="9"/>
        <v>1.2499999999999734E-3</v>
      </c>
      <c r="AW18" s="1699">
        <f t="shared" si="10"/>
        <v>8578.0907083222428</v>
      </c>
      <c r="AX18" s="956"/>
      <c r="AY18" s="1695" t="str">
        <f t="shared" si="11"/>
        <v>Rail</v>
      </c>
      <c r="AZ18" s="1823">
        <f t="shared" si="12"/>
        <v>2.4999999999999467E-3</v>
      </c>
      <c r="BA18" s="1825">
        <f t="shared" si="13"/>
        <v>1.1506938935049726E-2</v>
      </c>
      <c r="BB18" s="1826">
        <f t="shared" si="14"/>
        <v>1.2499999999999734E-3</v>
      </c>
      <c r="BC18" s="956"/>
      <c r="BD18" s="1695" t="str">
        <f t="shared" si="15"/>
        <v>Rail</v>
      </c>
      <c r="BE18" s="1696">
        <f t="shared" si="15"/>
        <v>7277.9250000000002</v>
      </c>
      <c r="BF18" s="1697">
        <f t="shared" si="16"/>
        <v>7461.933747396828</v>
      </c>
      <c r="BG18" s="1698">
        <f t="shared" si="17"/>
        <v>8366.4275096792499</v>
      </c>
      <c r="BH18" s="1697">
        <f t="shared" si="20"/>
        <v>8472.2591090007463</v>
      </c>
      <c r="BI18" s="1699">
        <f t="shared" si="18"/>
        <v>8578.0907083222428</v>
      </c>
      <c r="BJ18" s="956"/>
      <c r="BK18" s="1807" t="str">
        <f t="shared" si="28"/>
        <v>Cars and vans &lt; 2 t</v>
      </c>
      <c r="BL18" s="1820">
        <f t="shared" ref="BL18:BP23" si="30">BL7/BL$12</f>
        <v>0.58064316245344827</v>
      </c>
      <c r="BM18" s="1821">
        <f t="shared" si="30"/>
        <v>0.59345034062822333</v>
      </c>
      <c r="BN18" s="1820">
        <f t="shared" si="30"/>
        <v>0.60118929373034991</v>
      </c>
      <c r="BO18" s="1821">
        <f t="shared" si="30"/>
        <v>0.60506812067674642</v>
      </c>
      <c r="BP18" s="1822">
        <f t="shared" si="30"/>
        <v>0.60823318967028084</v>
      </c>
      <c r="BQ18" s="956"/>
      <c r="BR18" s="956"/>
      <c r="BS18" s="956"/>
      <c r="BT18" s="956"/>
      <c r="BU18" s="956"/>
      <c r="BV18" s="956"/>
      <c r="BW18" s="956"/>
      <c r="BX18" s="956"/>
      <c r="BY18" s="956"/>
      <c r="BZ18" s="956"/>
      <c r="CA18" s="956"/>
      <c r="CB18" s="956"/>
      <c r="CC18" s="956"/>
      <c r="CD18" s="956"/>
      <c r="CE18" s="956"/>
      <c r="CF18" s="956"/>
      <c r="CG18" s="956"/>
      <c r="CH18" s="956"/>
      <c r="CI18" s="956"/>
      <c r="CJ18" s="956"/>
      <c r="CK18" s="956"/>
      <c r="CL18" s="956"/>
      <c r="CM18" s="956"/>
      <c r="CN18" s="956"/>
      <c r="CO18" s="956"/>
      <c r="CP18" s="956"/>
      <c r="CQ18" s="956"/>
      <c r="CR18" s="956"/>
      <c r="CS18" s="956"/>
      <c r="CT18" s="956"/>
      <c r="CU18" s="956"/>
      <c r="CV18" s="956"/>
      <c r="CW18" s="956"/>
      <c r="CX18" s="956"/>
      <c r="CY18" s="956"/>
      <c r="CZ18" s="956"/>
    </row>
    <row r="19" spans="1:104" s="73" customFormat="1" ht="16.5" thickBot="1" x14ac:dyDescent="0.3">
      <c r="A19" s="69"/>
      <c r="B19" s="120" t="s">
        <v>17</v>
      </c>
      <c r="C19" s="21">
        <f>('Scenarios technology'!D165/'Scenarios technology'!D25)^(1/10)-1</f>
        <v>2.4999999999999467E-3</v>
      </c>
      <c r="D19" s="14">
        <f t="shared" si="1"/>
        <v>1.0252831332277852</v>
      </c>
      <c r="E19" s="97">
        <v>6357.7807091454961</v>
      </c>
      <c r="F19" s="102">
        <f>'Scenarios technology'!D165-E19</f>
        <v>0</v>
      </c>
      <c r="G19" s="21">
        <f>('Scenarios technology'!D305/'Scenarios technology'!D165)^(1/10)-1</f>
        <v>1.2999999999999901E-2</v>
      </c>
      <c r="H19" s="14">
        <f t="shared" si="2"/>
        <v>1.1378747323970322</v>
      </c>
      <c r="I19" s="97">
        <v>7234.3580230579446</v>
      </c>
      <c r="J19" s="102">
        <f>'Scenarios technology'!D305-I19</f>
        <v>0</v>
      </c>
      <c r="K19" s="21">
        <f>('Scenarios technology'!D445/'Scenarios technology'!D305)^(1/20)-1</f>
        <v>1.2499999999999734E-3</v>
      </c>
      <c r="L19" s="14">
        <f t="shared" si="3"/>
        <v>1.0252991134385754</v>
      </c>
      <c r="M19" s="97">
        <v>7417.3808673385556</v>
      </c>
      <c r="N19" s="102">
        <f>'Scenarios technology'!D445-M19</f>
        <v>0</v>
      </c>
      <c r="O19" s="12">
        <f t="shared" si="4"/>
        <v>0.196158823953968</v>
      </c>
      <c r="Q19" s="7"/>
      <c r="R19" s="7"/>
      <c r="S19" s="7"/>
      <c r="T19" s="7"/>
      <c r="U19" s="7"/>
      <c r="AG19" s="7"/>
      <c r="AH19" s="6"/>
      <c r="AI19" s="179" t="s">
        <v>24</v>
      </c>
      <c r="AJ19" s="200">
        <v>1</v>
      </c>
      <c r="AK19" s="171">
        <f>D58</f>
        <v>1</v>
      </c>
      <c r="AL19" s="192">
        <f>I58/E58*AK19</f>
        <v>1</v>
      </c>
      <c r="AM19" s="193">
        <f>M58/E58*AK19</f>
        <v>1</v>
      </c>
      <c r="AN19" s="70"/>
      <c r="AO19" s="70"/>
      <c r="AP19" s="1674" t="str">
        <f t="shared" si="0"/>
        <v>National rail</v>
      </c>
      <c r="AQ19" s="1696">
        <f>'Scenarios technology'!$D25</f>
        <v>6201</v>
      </c>
      <c r="AR19" s="1809">
        <f t="shared" si="5"/>
        <v>2.4999999999999467E-3</v>
      </c>
      <c r="AS19" s="1808">
        <f t="shared" si="6"/>
        <v>6357.7807091454961</v>
      </c>
      <c r="AT19" s="1810">
        <f t="shared" si="7"/>
        <v>1.2999999999999901E-2</v>
      </c>
      <c r="AU19" s="1677">
        <f t="shared" si="8"/>
        <v>7234.3580230579446</v>
      </c>
      <c r="AV19" s="1809">
        <f t="shared" si="9"/>
        <v>1.2499999999999734E-3</v>
      </c>
      <c r="AW19" s="1678">
        <f t="shared" si="10"/>
        <v>7417.3808673385556</v>
      </c>
      <c r="AX19" s="1647"/>
      <c r="AY19" s="1674" t="str">
        <f t="shared" si="11"/>
        <v>National rail</v>
      </c>
      <c r="AZ19" s="1809">
        <f t="shared" si="12"/>
        <v>2.4999999999999467E-3</v>
      </c>
      <c r="BA19" s="1810">
        <f t="shared" si="13"/>
        <v>1.2999999999999901E-2</v>
      </c>
      <c r="BB19" s="1811">
        <f t="shared" si="14"/>
        <v>1.2499999999999734E-3</v>
      </c>
      <c r="BC19" s="1647"/>
      <c r="BD19" s="1674" t="str">
        <f t="shared" si="15"/>
        <v>National rail</v>
      </c>
      <c r="BE19" s="1675">
        <f t="shared" si="15"/>
        <v>6201</v>
      </c>
      <c r="BF19" s="1676">
        <f t="shared" si="16"/>
        <v>6357.7807091454961</v>
      </c>
      <c r="BG19" s="1677">
        <f t="shared" si="17"/>
        <v>7234.3580230579446</v>
      </c>
      <c r="BH19" s="1676">
        <f t="shared" si="20"/>
        <v>7325.8694451982501</v>
      </c>
      <c r="BI19" s="1678">
        <f t="shared" si="18"/>
        <v>7417.3808673385556</v>
      </c>
      <c r="BJ19" s="1647"/>
      <c r="BK19" s="1807" t="str">
        <f t="shared" si="28"/>
        <v>Rail</v>
      </c>
      <c r="BL19" s="1820">
        <f t="shared" si="30"/>
        <v>8.1604356743856826E-2</v>
      </c>
      <c r="BM19" s="1821">
        <f t="shared" si="30"/>
        <v>6.8731466188462154E-2</v>
      </c>
      <c r="BN19" s="1820">
        <f t="shared" si="30"/>
        <v>6.2941892721305098E-2</v>
      </c>
      <c r="BO19" s="1821">
        <f t="shared" si="30"/>
        <v>5.727950034657546E-2</v>
      </c>
      <c r="BP19" s="1822">
        <f t="shared" si="30"/>
        <v>5.2659066699456199E-2</v>
      </c>
      <c r="BQ19" s="1647"/>
      <c r="BR19" s="1647"/>
      <c r="BS19" s="1647"/>
      <c r="BT19" s="1647"/>
      <c r="BU19" s="1647"/>
      <c r="BV19" s="1647"/>
      <c r="BW19" s="1647"/>
      <c r="BX19" s="1647"/>
      <c r="BY19" s="1647"/>
      <c r="BZ19" s="1647"/>
      <c r="CA19" s="1647"/>
      <c r="CB19" s="1647"/>
      <c r="CC19" s="1647"/>
      <c r="CD19" s="1647"/>
      <c r="CE19" s="1647"/>
      <c r="CF19" s="1647"/>
      <c r="CG19" s="1647"/>
      <c r="CH19" s="1647"/>
      <c r="CI19" s="1647"/>
      <c r="CJ19" s="1647"/>
      <c r="CK19" s="1647"/>
      <c r="CL19" s="1647"/>
      <c r="CM19" s="1647"/>
      <c r="CN19" s="1647"/>
      <c r="CO19" s="1647"/>
      <c r="CP19" s="1647"/>
      <c r="CQ19" s="1647"/>
      <c r="CR19" s="1647"/>
      <c r="CS19" s="1647"/>
      <c r="CT19" s="1647"/>
      <c r="CU19" s="1647"/>
      <c r="CV19" s="1647"/>
      <c r="CW19" s="1647"/>
      <c r="CX19" s="1647"/>
      <c r="CY19" s="1647"/>
      <c r="CZ19" s="956"/>
    </row>
    <row r="20" spans="1:104" s="73" customFormat="1" ht="15.75" x14ac:dyDescent="0.25">
      <c r="A20" s="69"/>
      <c r="B20" s="119" t="s">
        <v>23</v>
      </c>
      <c r="C20" s="80">
        <v>2.5000000000000001E-3</v>
      </c>
      <c r="D20" s="14">
        <f t="shared" si="1"/>
        <v>1.0252831332277852</v>
      </c>
      <c r="E20" s="97">
        <v>317.88903545727482</v>
      </c>
      <c r="F20" s="102">
        <f>'Scenarios technology'!D166-E20</f>
        <v>0</v>
      </c>
      <c r="G20" s="80">
        <v>1.2999999999999999E-2</v>
      </c>
      <c r="H20" s="14">
        <f t="shared" si="2"/>
        <v>1.1378747323970322</v>
      </c>
      <c r="I20" s="97">
        <v>0</v>
      </c>
      <c r="J20" s="102">
        <f>'Scenarios technology'!D306-I20</f>
        <v>0</v>
      </c>
      <c r="K20" s="80">
        <f>C20/2</f>
        <v>1.25E-3</v>
      </c>
      <c r="L20" s="14">
        <f t="shared" si="3"/>
        <v>1.0252991134385754</v>
      </c>
      <c r="M20" s="97">
        <v>0</v>
      </c>
      <c r="N20" s="102">
        <f>'Scenarios technology'!D446-M20</f>
        <v>0</v>
      </c>
      <c r="O20" s="12">
        <f t="shared" si="4"/>
        <v>0.196158823953968</v>
      </c>
      <c r="P20" s="7"/>
      <c r="Q20" s="18" t="s">
        <v>218</v>
      </c>
      <c r="R20" s="37">
        <v>2010</v>
      </c>
      <c r="S20" s="37">
        <v>2020</v>
      </c>
      <c r="T20" s="37">
        <v>2030</v>
      </c>
      <c r="U20" s="38">
        <v>2050</v>
      </c>
      <c r="AG20" s="7"/>
      <c r="AH20" s="14"/>
      <c r="AI20" s="179" t="s">
        <v>75</v>
      </c>
      <c r="AJ20" s="200">
        <v>1</v>
      </c>
      <c r="AK20" s="171">
        <f>D61</f>
        <v>1.2553254600680925</v>
      </c>
      <c r="AL20" s="192">
        <f>I61/E61*AK20</f>
        <v>1.5758420106951678</v>
      </c>
      <c r="AM20" s="193">
        <f>M61/E61*AK20</f>
        <v>1.9807534287601232</v>
      </c>
      <c r="AN20" s="70"/>
      <c r="AO20" s="70"/>
      <c r="AP20" s="1674" t="str">
        <f t="shared" si="0"/>
        <v>National rail (diesel)</v>
      </c>
      <c r="AQ20" s="1696">
        <f>'Scenarios technology'!$D26</f>
        <v>3472.5600000000004</v>
      </c>
      <c r="AR20" s="1809">
        <f t="shared" si="5"/>
        <v>2.5000000000000001E-3</v>
      </c>
      <c r="AS20" s="1808">
        <f t="shared" si="6"/>
        <v>317.88903545727482</v>
      </c>
      <c r="AT20" s="1810">
        <f t="shared" si="7"/>
        <v>1.2999999999999999E-2</v>
      </c>
      <c r="AU20" s="1677">
        <f t="shared" si="8"/>
        <v>0</v>
      </c>
      <c r="AV20" s="1809">
        <f t="shared" si="9"/>
        <v>1.25E-3</v>
      </c>
      <c r="AW20" s="1678">
        <f t="shared" si="10"/>
        <v>0</v>
      </c>
      <c r="AX20" s="1647"/>
      <c r="AY20" s="1674" t="str">
        <f t="shared" si="11"/>
        <v>National rail (diesel)</v>
      </c>
      <c r="AZ20" s="1809">
        <f t="shared" si="12"/>
        <v>2.5000000000000001E-3</v>
      </c>
      <c r="BA20" s="1810">
        <f t="shared" si="13"/>
        <v>1.2999999999999999E-2</v>
      </c>
      <c r="BB20" s="1811">
        <f t="shared" si="14"/>
        <v>1.25E-3</v>
      </c>
      <c r="BC20" s="1647"/>
      <c r="BD20" s="1674" t="str">
        <f t="shared" si="15"/>
        <v>National rail (diesel)</v>
      </c>
      <c r="BE20" s="1675">
        <f t="shared" si="15"/>
        <v>3472.5600000000004</v>
      </c>
      <c r="BF20" s="1676">
        <f t="shared" si="16"/>
        <v>317.88903545727482</v>
      </c>
      <c r="BG20" s="1677">
        <f t="shared" si="17"/>
        <v>0</v>
      </c>
      <c r="BH20" s="1676">
        <f t="shared" si="20"/>
        <v>0</v>
      </c>
      <c r="BI20" s="1678">
        <f t="shared" si="18"/>
        <v>0</v>
      </c>
      <c r="BJ20" s="1647"/>
      <c r="BK20" s="1807" t="str">
        <f t="shared" si="28"/>
        <v>Bus</v>
      </c>
      <c r="BL20" s="1820">
        <f t="shared" si="30"/>
        <v>0.10209059150139861</v>
      </c>
      <c r="BM20" s="1821">
        <f t="shared" si="30"/>
        <v>8.598600571784816E-2</v>
      </c>
      <c r="BN20" s="1820">
        <f t="shared" si="30"/>
        <v>7.200573940881673E-2</v>
      </c>
      <c r="BO20" s="1821">
        <f t="shared" si="30"/>
        <v>6.5527943268008218E-2</v>
      </c>
      <c r="BP20" s="1822">
        <f t="shared" si="30"/>
        <v>6.0242151456450822E-2</v>
      </c>
      <c r="BQ20" s="1647"/>
      <c r="BR20" s="1647"/>
      <c r="BS20" s="1647"/>
      <c r="BT20" s="1647"/>
      <c r="BU20" s="1647"/>
      <c r="BV20" s="1647"/>
      <c r="BW20" s="1647"/>
      <c r="BX20" s="1647"/>
      <c r="BY20" s="1647"/>
      <c r="BZ20" s="1647"/>
      <c r="CA20" s="1647"/>
      <c r="CB20" s="1647"/>
      <c r="CC20" s="1647"/>
      <c r="CD20" s="1647"/>
      <c r="CE20" s="1647"/>
      <c r="CF20" s="1647"/>
      <c r="CG20" s="1647"/>
      <c r="CH20" s="1647"/>
      <c r="CI20" s="1647"/>
      <c r="CJ20" s="1647"/>
      <c r="CK20" s="1647"/>
      <c r="CL20" s="1647"/>
      <c r="CM20" s="1647"/>
      <c r="CN20" s="1647"/>
      <c r="CO20" s="1647"/>
      <c r="CP20" s="1647"/>
      <c r="CQ20" s="1647"/>
      <c r="CR20" s="1647"/>
      <c r="CS20" s="1647"/>
      <c r="CT20" s="1647"/>
      <c r="CU20" s="1647"/>
      <c r="CV20" s="1647"/>
      <c r="CW20" s="1647"/>
      <c r="CX20" s="1647"/>
      <c r="CY20" s="1647"/>
      <c r="CZ20" s="956"/>
    </row>
    <row r="21" spans="1:104" ht="15.75" x14ac:dyDescent="0.25">
      <c r="A21" s="15"/>
      <c r="B21" s="119" t="s">
        <v>25</v>
      </c>
      <c r="C21" s="81">
        <v>2.5000000000000001E-3</v>
      </c>
      <c r="D21" s="14">
        <f t="shared" si="1"/>
        <v>1.0252831332277852</v>
      </c>
      <c r="E21" s="97">
        <v>6039.8916736882211</v>
      </c>
      <c r="F21" s="102">
        <f>'Scenarios technology'!D167-E21</f>
        <v>0</v>
      </c>
      <c r="G21" s="81">
        <v>1.2999999999999999E-2</v>
      </c>
      <c r="H21" s="14">
        <f t="shared" si="2"/>
        <v>1.1378747323970322</v>
      </c>
      <c r="I21" s="97">
        <v>7234.3580230579446</v>
      </c>
      <c r="J21" s="102">
        <f>'Scenarios technology'!D307-I21</f>
        <v>0</v>
      </c>
      <c r="K21" s="81">
        <f>C21/2</f>
        <v>1.25E-3</v>
      </c>
      <c r="L21" s="14">
        <f t="shared" si="3"/>
        <v>1.0252991134385754</v>
      </c>
      <c r="M21" s="97">
        <v>7417.3808673385556</v>
      </c>
      <c r="N21" s="102">
        <f>'Scenarios technology'!D447-M21</f>
        <v>0</v>
      </c>
      <c r="O21" s="12">
        <f t="shared" si="4"/>
        <v>0.196158823953968</v>
      </c>
      <c r="P21" s="15"/>
      <c r="Q21" s="3" t="s">
        <v>140</v>
      </c>
      <c r="R21" s="153">
        <f>'Scenarios technology'!D6/('Scenarios technology'!D56-'Scenarios technology'!D46)</f>
        <v>0.71584610308633767</v>
      </c>
      <c r="S21" s="153">
        <f>'Scenarios technology'!D146/('Scenarios technology'!D196-'Scenarios technology'!D186)</f>
        <v>0.753682800323906</v>
      </c>
      <c r="T21" s="153">
        <f>'Scenarios technology'!D286/('Scenarios technology'!D336-'Scenarios technology'!D326)</f>
        <v>0.78188836450370081</v>
      </c>
      <c r="U21" s="154">
        <f>'Scenarios technology'!D426/('Scenarios technology'!D476-'Scenarios technology'!D466)</f>
        <v>0.81260089586906969</v>
      </c>
      <c r="AG21" s="7"/>
      <c r="AH21" s="15"/>
      <c r="AI21" s="180" t="s">
        <v>19</v>
      </c>
      <c r="AJ21" s="200">
        <v>1</v>
      </c>
      <c r="AK21" s="171">
        <f>D62</f>
        <v>1</v>
      </c>
      <c r="AL21" s="192">
        <f>I62/E62*AK21</f>
        <v>1</v>
      </c>
      <c r="AM21" s="193">
        <f>M62/E62*AK21</f>
        <v>1</v>
      </c>
      <c r="AP21" s="1674" t="str">
        <f t="shared" si="0"/>
        <v>National rail (electricity)</v>
      </c>
      <c r="AQ21" s="1696">
        <f>'Scenarios technology'!$D27</f>
        <v>2728.44</v>
      </c>
      <c r="AR21" s="1809">
        <f t="shared" si="5"/>
        <v>2.5000000000000001E-3</v>
      </c>
      <c r="AS21" s="1808">
        <f t="shared" si="6"/>
        <v>6039.8916736882211</v>
      </c>
      <c r="AT21" s="1810">
        <f t="shared" si="7"/>
        <v>1.2999999999999999E-2</v>
      </c>
      <c r="AU21" s="1677">
        <f t="shared" si="8"/>
        <v>7234.3580230579446</v>
      </c>
      <c r="AV21" s="1809">
        <f t="shared" si="9"/>
        <v>1.25E-3</v>
      </c>
      <c r="AW21" s="1678">
        <f t="shared" si="10"/>
        <v>7417.3808673385556</v>
      </c>
      <c r="AX21" s="1647"/>
      <c r="AY21" s="1674" t="str">
        <f t="shared" si="11"/>
        <v>National rail (electricity)</v>
      </c>
      <c r="AZ21" s="1809">
        <f t="shared" si="12"/>
        <v>2.5000000000000001E-3</v>
      </c>
      <c r="BA21" s="1810">
        <f t="shared" si="13"/>
        <v>1.2999999999999999E-2</v>
      </c>
      <c r="BB21" s="1811">
        <f t="shared" si="14"/>
        <v>1.25E-3</v>
      </c>
      <c r="BC21" s="1647"/>
      <c r="BD21" s="1674" t="str">
        <f t="shared" si="15"/>
        <v>National rail (electricity)</v>
      </c>
      <c r="BE21" s="1675">
        <f t="shared" si="15"/>
        <v>2728.44</v>
      </c>
      <c r="BF21" s="1676">
        <f t="shared" si="16"/>
        <v>6039.8916736882211</v>
      </c>
      <c r="BG21" s="1677">
        <f t="shared" si="17"/>
        <v>7234.3580230579446</v>
      </c>
      <c r="BH21" s="1676">
        <f t="shared" si="20"/>
        <v>7325.8694451982501</v>
      </c>
      <c r="BI21" s="1678">
        <f t="shared" si="18"/>
        <v>7417.3808673385556</v>
      </c>
      <c r="BJ21" s="1647"/>
      <c r="BK21" s="1807" t="str">
        <f t="shared" si="28"/>
        <v>Air</v>
      </c>
      <c r="BL21" s="1820">
        <f t="shared" si="30"/>
        <v>0.18887151868253255</v>
      </c>
      <c r="BM21" s="1821">
        <f t="shared" si="30"/>
        <v>0.21259933174383239</v>
      </c>
      <c r="BN21" s="1820">
        <f t="shared" si="30"/>
        <v>0.23110597238270539</v>
      </c>
      <c r="BO21" s="1821">
        <f t="shared" si="30"/>
        <v>0.24233528789575765</v>
      </c>
      <c r="BP21" s="1822">
        <f t="shared" si="30"/>
        <v>0.25149825361713302</v>
      </c>
      <c r="BQ21" s="1647"/>
      <c r="BR21" s="1647"/>
      <c r="BS21" s="1647"/>
      <c r="BT21" s="1647"/>
      <c r="BU21" s="1647"/>
      <c r="BV21" s="1647"/>
      <c r="BW21" s="1647"/>
      <c r="BX21" s="1647"/>
      <c r="BY21" s="1647"/>
      <c r="BZ21" s="1647"/>
      <c r="CA21" s="1647"/>
      <c r="CB21" s="1647"/>
      <c r="CC21" s="1647"/>
      <c r="CD21" s="1647"/>
      <c r="CE21" s="1647"/>
      <c r="CF21" s="1647"/>
      <c r="CG21" s="1647"/>
      <c r="CH21" s="1647"/>
      <c r="CI21" s="1647"/>
      <c r="CJ21" s="1647"/>
      <c r="CK21" s="1647"/>
      <c r="CL21" s="1647"/>
      <c r="CM21" s="1647"/>
      <c r="CN21" s="1647"/>
      <c r="CO21" s="1647"/>
      <c r="CP21" s="1647"/>
      <c r="CQ21" s="1647"/>
      <c r="CR21" s="1647"/>
      <c r="CS21" s="1647"/>
      <c r="CT21" s="1647"/>
      <c r="CU21" s="1647"/>
      <c r="CV21" s="1647"/>
      <c r="CW21" s="1647"/>
      <c r="CX21" s="1647"/>
      <c r="CY21" s="1647"/>
      <c r="CZ21" s="956"/>
    </row>
    <row r="22" spans="1:104" ht="16.5" thickBot="1" x14ac:dyDescent="0.3">
      <c r="A22" s="68"/>
      <c r="B22" s="128" t="s">
        <v>26</v>
      </c>
      <c r="C22" s="82">
        <v>2.5000000000000001E-3</v>
      </c>
      <c r="D22" s="20">
        <f t="shared" si="1"/>
        <v>1.0252831332277852</v>
      </c>
      <c r="E22" s="114">
        <v>1104.1530382513324</v>
      </c>
      <c r="F22" s="115">
        <f>'Scenarios technology'!D168-E22</f>
        <v>0</v>
      </c>
      <c r="G22" s="82">
        <v>2.5000000000000001E-3</v>
      </c>
      <c r="H22" s="20">
        <f t="shared" si="2"/>
        <v>1.0252831332277852</v>
      </c>
      <c r="I22" s="114">
        <v>1132.0694866213046</v>
      </c>
      <c r="J22" s="115">
        <f>'Scenarios technology'!D308-I22</f>
        <v>0</v>
      </c>
      <c r="K22" s="82">
        <f>C22/2</f>
        <v>1.25E-3</v>
      </c>
      <c r="L22" s="20">
        <f t="shared" si="3"/>
        <v>1.0252991134385754</v>
      </c>
      <c r="M22" s="114">
        <v>1160.7098409836867</v>
      </c>
      <c r="N22" s="115">
        <f>'Scenarios technology'!D448-M22</f>
        <v>0</v>
      </c>
      <c r="O22" s="22">
        <f t="shared" si="4"/>
        <v>7.7800070556154788E-2</v>
      </c>
      <c r="P22" s="15"/>
      <c r="Q22" s="3" t="s">
        <v>141</v>
      </c>
      <c r="R22" s="153">
        <f>('Scenarios technology'!D24+'Scenarios technology'!D30+'Scenarios technology'!D51)/('Scenarios technology'!D56-'Scenarios technology'!D46)</f>
        <v>0.23925090855533404</v>
      </c>
      <c r="S22" s="153">
        <f>('Scenarios technology'!D164+'Scenarios technology'!D170+'Scenarios technology'!D191)/('Scenarios technology'!D196-'Scenarios technology'!D186)</f>
        <v>0.20832240209529773</v>
      </c>
      <c r="T22" s="153">
        <f>('Scenarios technology'!D304+'Scenarios technology'!D310+'Scenarios technology'!D331)/('Scenarios technology'!D336-'Scenarios technology'!D326)</f>
        <v>0.18633199698647351</v>
      </c>
      <c r="U22" s="154">
        <f>('Scenarios technology'!D444+'Scenarios technology'!D450+'Scenarios technology'!D471)/('Scenarios technology'!D476-'Scenarios technology'!D466)</f>
        <v>0.16076087195908945</v>
      </c>
      <c r="AG22" s="7"/>
      <c r="AH22" s="15"/>
      <c r="AI22" s="179" t="s">
        <v>147</v>
      </c>
      <c r="AJ22" s="200">
        <v>1</v>
      </c>
      <c r="AK22" s="171">
        <f>D63</f>
        <v>1.2553254600680925</v>
      </c>
      <c r="AL22" s="192">
        <f>I63/E63*AK22</f>
        <v>1.5758420106951683</v>
      </c>
      <c r="AM22" s="193">
        <f>M63/E63*AK22</f>
        <v>1.9807534287601232</v>
      </c>
      <c r="AP22" s="1708" t="str">
        <f t="shared" si="0"/>
        <v>International rail (electricity)</v>
      </c>
      <c r="AQ22" s="1696">
        <f>'Scenarios technology'!$D28</f>
        <v>1076.925</v>
      </c>
      <c r="AR22" s="1827">
        <f t="shared" si="5"/>
        <v>2.5000000000000001E-3</v>
      </c>
      <c r="AS22" s="1828">
        <f t="shared" si="6"/>
        <v>1104.1530382513324</v>
      </c>
      <c r="AT22" s="1829">
        <f t="shared" si="7"/>
        <v>2.5000000000000001E-3</v>
      </c>
      <c r="AU22" s="1711">
        <f t="shared" si="8"/>
        <v>1132.0694866213046</v>
      </c>
      <c r="AV22" s="1827">
        <f t="shared" si="9"/>
        <v>1.25E-3</v>
      </c>
      <c r="AW22" s="1712">
        <f t="shared" si="10"/>
        <v>1160.7098409836867</v>
      </c>
      <c r="AX22" s="956"/>
      <c r="AY22" s="1708" t="str">
        <f t="shared" si="11"/>
        <v>International rail (electricity)</v>
      </c>
      <c r="AZ22" s="1827">
        <f t="shared" si="12"/>
        <v>2.5000000000000001E-3</v>
      </c>
      <c r="BA22" s="1829">
        <f t="shared" si="13"/>
        <v>2.5000000000000001E-3</v>
      </c>
      <c r="BB22" s="1830">
        <f t="shared" si="14"/>
        <v>1.25E-3</v>
      </c>
      <c r="BC22" s="956"/>
      <c r="BD22" s="1708" t="str">
        <f t="shared" si="15"/>
        <v>International rail (electricity)</v>
      </c>
      <c r="BE22" s="1709">
        <f t="shared" si="15"/>
        <v>1076.925</v>
      </c>
      <c r="BF22" s="1710">
        <f t="shared" si="16"/>
        <v>1104.1530382513324</v>
      </c>
      <c r="BG22" s="1711">
        <f t="shared" si="17"/>
        <v>1132.0694866213046</v>
      </c>
      <c r="BH22" s="1710">
        <f t="shared" si="20"/>
        <v>1146.3896638024958</v>
      </c>
      <c r="BI22" s="1712">
        <f t="shared" si="18"/>
        <v>1160.7098409836867</v>
      </c>
      <c r="BJ22" s="956"/>
      <c r="BK22" s="1812" t="str">
        <f t="shared" si="28"/>
        <v>Sea</v>
      </c>
      <c r="BL22" s="1831">
        <f t="shared" si="30"/>
        <v>1.0368277865056924E-2</v>
      </c>
      <c r="BM22" s="1832">
        <f t="shared" si="30"/>
        <v>9.3157267162571611E-3</v>
      </c>
      <c r="BN22" s="1831">
        <f t="shared" si="30"/>
        <v>8.3219275067813962E-3</v>
      </c>
      <c r="BO22" s="1832">
        <f t="shared" si="30"/>
        <v>7.8299896907731339E-3</v>
      </c>
      <c r="BP22" s="1833">
        <f t="shared" si="30"/>
        <v>7.4285752555038938E-3</v>
      </c>
      <c r="BQ22" s="956"/>
      <c r="BR22" s="956"/>
      <c r="BS22" s="956"/>
      <c r="BT22" s="956"/>
      <c r="BU22" s="956"/>
      <c r="BV22" s="956"/>
      <c r="BW22" s="956"/>
      <c r="BX22" s="956"/>
      <c r="BY22" s="956"/>
      <c r="BZ22" s="956"/>
      <c r="CA22" s="956"/>
      <c r="CB22" s="956"/>
      <c r="CC22" s="956"/>
      <c r="CD22" s="956"/>
      <c r="CE22" s="956"/>
      <c r="CF22" s="956"/>
      <c r="CG22" s="956"/>
      <c r="CH22" s="956"/>
      <c r="CI22" s="956"/>
      <c r="CJ22" s="956"/>
      <c r="CK22" s="956"/>
      <c r="CL22" s="956"/>
      <c r="CM22" s="956"/>
      <c r="CN22" s="956"/>
      <c r="CO22" s="956"/>
      <c r="CP22" s="956"/>
      <c r="CQ22" s="956"/>
      <c r="CR22" s="956"/>
      <c r="CS22" s="956"/>
      <c r="CT22" s="956"/>
      <c r="CU22" s="956"/>
      <c r="CV22" s="956"/>
      <c r="CW22" s="956"/>
      <c r="CX22" s="956"/>
      <c r="CY22" s="956"/>
      <c r="CZ22" s="956"/>
    </row>
    <row r="23" spans="1:104" ht="16.5" thickBot="1" x14ac:dyDescent="0.3">
      <c r="A23" s="69"/>
      <c r="B23" s="129" t="s">
        <v>69</v>
      </c>
      <c r="C23" s="91">
        <f>('Scenarios technology'!D170/'Scenarios technology'!D30)^(1/10)-1</f>
        <v>2.4999521046025208E-3</v>
      </c>
      <c r="D23" s="110">
        <f t="shared" si="1"/>
        <v>1.0252826433890561</v>
      </c>
      <c r="E23" s="111">
        <v>9335.1984680573551</v>
      </c>
      <c r="F23" s="112">
        <f>'Scenarios technology'!D170-E23</f>
        <v>0</v>
      </c>
      <c r="G23" s="91">
        <f>('Scenarios technology'!D310/'Scenarios technology'!D170)^(1/10)-1</f>
        <v>2.4999999999999467E-3</v>
      </c>
      <c r="H23" s="110">
        <f t="shared" si="2"/>
        <v>1.0252831332277852</v>
      </c>
      <c r="I23" s="111">
        <v>9571.2215346330649</v>
      </c>
      <c r="J23" s="112">
        <f>'Scenarios technology'!D310-I23</f>
        <v>0</v>
      </c>
      <c r="K23" s="91">
        <f>('Scenarios technology'!D450/'Scenarios technology'!D310)^(1/20)-1</f>
        <v>1.2499999999999734E-3</v>
      </c>
      <c r="L23" s="110">
        <f t="shared" si="3"/>
        <v>1.0252991134385754</v>
      </c>
      <c r="M23" s="111">
        <v>9813.3649539834823</v>
      </c>
      <c r="N23" s="112">
        <f>'Scenarios technology'!D450-M23</f>
        <v>0</v>
      </c>
      <c r="O23" s="113">
        <f t="shared" si="4"/>
        <v>7.7799555626961503E-2</v>
      </c>
      <c r="P23" s="7"/>
      <c r="Q23" s="3" t="s">
        <v>135</v>
      </c>
      <c r="R23" s="153">
        <f>'Scenarios technology'!D41/('Scenarios technology'!D56-'Scenarios technology'!D46)</f>
        <v>4.4902988358328379E-2</v>
      </c>
      <c r="S23" s="153">
        <f>'Scenarios technology'!D181/('Scenarios technology'!D196-'Scenarios technology'!D186)</f>
        <v>3.7994797580796456E-2</v>
      </c>
      <c r="T23" s="153">
        <f>'Scenarios technology'!D321/('Scenarios technology'!D336-'Scenarios technology'!D326)</f>
        <v>3.1779638509825729E-2</v>
      </c>
      <c r="U23" s="154">
        <f>'Scenarios technology'!D461/('Scenarios technology'!D476-'Scenarios technology'!D466)</f>
        <v>2.6638232171841109E-2</v>
      </c>
      <c r="AG23" s="7"/>
      <c r="AH23" s="14"/>
      <c r="AI23" s="180" t="s">
        <v>21</v>
      </c>
      <c r="AJ23" s="200">
        <v>1</v>
      </c>
      <c r="AK23" s="171">
        <f>D64</f>
        <v>1.0991658651176153</v>
      </c>
      <c r="AL23" s="192">
        <f>I64/E64*AK23</f>
        <v>1.2081655990397555</v>
      </c>
      <c r="AM23" s="193">
        <f>M64/E64*AK23</f>
        <v>1.3282712203043363</v>
      </c>
      <c r="AP23" s="1695" t="str">
        <f t="shared" si="0"/>
        <v>Bus</v>
      </c>
      <c r="AQ23" s="1696">
        <f>'Scenarios technology'!$D30</f>
        <v>9105</v>
      </c>
      <c r="AR23" s="1823">
        <f t="shared" si="5"/>
        <v>2.4999521046025208E-3</v>
      </c>
      <c r="AS23" s="1824">
        <f t="shared" si="6"/>
        <v>9335.1984680573551</v>
      </c>
      <c r="AT23" s="1825">
        <f t="shared" si="7"/>
        <v>2.4999999999999467E-3</v>
      </c>
      <c r="AU23" s="1698">
        <f t="shared" si="8"/>
        <v>9571.2215346330649</v>
      </c>
      <c r="AV23" s="1823">
        <f t="shared" si="9"/>
        <v>1.2499999999999734E-3</v>
      </c>
      <c r="AW23" s="1699">
        <f t="shared" si="10"/>
        <v>9813.3649539834823</v>
      </c>
      <c r="AX23" s="956"/>
      <c r="AY23" s="1695" t="str">
        <f t="shared" si="11"/>
        <v>Bus</v>
      </c>
      <c r="AZ23" s="1823">
        <f t="shared" si="12"/>
        <v>2.4999521046025208E-3</v>
      </c>
      <c r="BA23" s="1825">
        <f t="shared" si="13"/>
        <v>2.4999999999999467E-3</v>
      </c>
      <c r="BB23" s="1826">
        <f t="shared" si="14"/>
        <v>1.2499999999999734E-3</v>
      </c>
      <c r="BC23" s="956"/>
      <c r="BD23" s="1695" t="str">
        <f t="shared" si="15"/>
        <v>Bus</v>
      </c>
      <c r="BE23" s="1696">
        <f t="shared" si="15"/>
        <v>9105</v>
      </c>
      <c r="BF23" s="1697">
        <f t="shared" si="16"/>
        <v>9335.1984680573551</v>
      </c>
      <c r="BG23" s="1698">
        <f t="shared" si="17"/>
        <v>9571.2215346330649</v>
      </c>
      <c r="BH23" s="1697">
        <f t="shared" si="20"/>
        <v>9692.2932443082736</v>
      </c>
      <c r="BI23" s="1699">
        <f t="shared" si="18"/>
        <v>9813.3649539834823</v>
      </c>
      <c r="BJ23" s="956"/>
      <c r="BK23" s="1816" t="str">
        <f t="shared" si="28"/>
        <v>Total</v>
      </c>
      <c r="BL23" s="1834">
        <f t="shared" si="30"/>
        <v>1</v>
      </c>
      <c r="BM23" s="1835">
        <f t="shared" si="30"/>
        <v>1</v>
      </c>
      <c r="BN23" s="1834">
        <f t="shared" si="30"/>
        <v>1</v>
      </c>
      <c r="BO23" s="1835">
        <f t="shared" si="30"/>
        <v>1</v>
      </c>
      <c r="BP23" s="1836">
        <f t="shared" si="30"/>
        <v>1</v>
      </c>
      <c r="BQ23" s="956"/>
      <c r="BR23" s="956"/>
      <c r="BS23" s="956"/>
      <c r="BT23" s="956"/>
      <c r="BU23" s="956"/>
      <c r="BV23" s="956"/>
      <c r="BW23" s="956"/>
      <c r="BX23" s="956"/>
      <c r="BY23" s="956"/>
      <c r="BZ23" s="956"/>
      <c r="CA23" s="956"/>
      <c r="CB23" s="956"/>
      <c r="CC23" s="956"/>
      <c r="CD23" s="956"/>
      <c r="CE23" s="956"/>
      <c r="CF23" s="956"/>
      <c r="CG23" s="956"/>
      <c r="CH23" s="956"/>
      <c r="CI23" s="956"/>
      <c r="CJ23" s="956"/>
      <c r="CK23" s="956"/>
      <c r="CL23" s="956"/>
      <c r="CM23" s="956"/>
      <c r="CN23" s="956"/>
      <c r="CO23" s="956"/>
      <c r="CP23" s="956"/>
      <c r="CQ23" s="956"/>
      <c r="CR23" s="956"/>
      <c r="CS23" s="956"/>
      <c r="CT23" s="956"/>
      <c r="CU23" s="956"/>
      <c r="CV23" s="956"/>
      <c r="CW23" s="956"/>
      <c r="CX23" s="956"/>
      <c r="CY23" s="956"/>
      <c r="CZ23" s="956"/>
    </row>
    <row r="24" spans="1:104" ht="16.5" thickBot="1" x14ac:dyDescent="0.3">
      <c r="A24" s="69"/>
      <c r="B24" s="118" t="s">
        <v>8</v>
      </c>
      <c r="C24" s="23">
        <f>('Scenarios technology'!D171/'Scenarios technology'!D31)^(1/10)-1</f>
        <v>2.4999398499836456E-3</v>
      </c>
      <c r="D24" s="6">
        <f t="shared" si="1"/>
        <v>1.0252825180579044</v>
      </c>
      <c r="E24" s="97">
        <v>7433.2982559198126</v>
      </c>
      <c r="F24" s="102">
        <f>'Scenarios technology'!D171-E24</f>
        <v>0</v>
      </c>
      <c r="G24" s="23">
        <f>('Scenarios technology'!D311/'Scenarios technology'!D171)^(1/10)-1</f>
        <v>2.4999999999999467E-3</v>
      </c>
      <c r="H24" s="6">
        <f t="shared" si="2"/>
        <v>1.0252831332277852</v>
      </c>
      <c r="I24" s="97">
        <v>7621.2353260460968</v>
      </c>
      <c r="J24" s="102">
        <f>'Scenarios technology'!D311-I24</f>
        <v>0</v>
      </c>
      <c r="K24" s="23">
        <f>('Scenarios technology'!D451/'Scenarios technology'!D311)^(1/20)-1</f>
        <v>1.2499999999999734E-3</v>
      </c>
      <c r="L24" s="6">
        <f t="shared" si="3"/>
        <v>1.0252991134385754</v>
      </c>
      <c r="M24" s="97">
        <v>7814.0458231018147</v>
      </c>
      <c r="N24" s="102">
        <f>'Scenarios technology'!D451-M24</f>
        <v>0</v>
      </c>
      <c r="O24" s="12">
        <f t="shared" si="4"/>
        <v>7.7799423876111495E-2</v>
      </c>
      <c r="P24" s="7"/>
      <c r="Q24" s="18" t="s">
        <v>217</v>
      </c>
      <c r="R24" s="37">
        <v>2010</v>
      </c>
      <c r="S24" s="37">
        <v>2020</v>
      </c>
      <c r="T24" s="37">
        <v>2030</v>
      </c>
      <c r="U24" s="38">
        <v>2050</v>
      </c>
      <c r="AG24" s="7"/>
      <c r="AH24" s="14"/>
      <c r="AI24" s="179" t="s">
        <v>22</v>
      </c>
      <c r="AJ24" s="200">
        <v>1</v>
      </c>
      <c r="AK24" s="171">
        <f>D65</f>
        <v>1.2553254600680925</v>
      </c>
      <c r="AL24" s="192">
        <f>I65/E65*AK24</f>
        <v>1.5758420106951683</v>
      </c>
      <c r="AM24" s="193">
        <f>M65/E65*AK24</f>
        <v>1.9807534287601232</v>
      </c>
      <c r="AP24" s="1674" t="str">
        <f t="shared" si="0"/>
        <v>National bus</v>
      </c>
      <c r="AQ24" s="1696">
        <f>'Scenarios technology'!$D31</f>
        <v>7250</v>
      </c>
      <c r="AR24" s="1809">
        <f t="shared" si="5"/>
        <v>2.4999398499836456E-3</v>
      </c>
      <c r="AS24" s="1808">
        <f t="shared" si="6"/>
        <v>7433.2982559198126</v>
      </c>
      <c r="AT24" s="1810">
        <f t="shared" si="7"/>
        <v>2.4999999999999467E-3</v>
      </c>
      <c r="AU24" s="1677">
        <f t="shared" si="8"/>
        <v>7621.2353260460968</v>
      </c>
      <c r="AV24" s="1809">
        <f t="shared" si="9"/>
        <v>1.2499999999999734E-3</v>
      </c>
      <c r="AW24" s="1678">
        <f t="shared" si="10"/>
        <v>7814.0458231018147</v>
      </c>
      <c r="AX24" s="956"/>
      <c r="AY24" s="1674" t="str">
        <f t="shared" si="11"/>
        <v>National bus</v>
      </c>
      <c r="AZ24" s="1809">
        <f t="shared" si="12"/>
        <v>2.4999398499836456E-3</v>
      </c>
      <c r="BA24" s="1810">
        <f t="shared" si="13"/>
        <v>2.4999999999999467E-3</v>
      </c>
      <c r="BB24" s="1811">
        <f t="shared" si="14"/>
        <v>1.2499999999999734E-3</v>
      </c>
      <c r="BC24" s="956"/>
      <c r="BD24" s="1674" t="str">
        <f t="shared" si="15"/>
        <v>National bus</v>
      </c>
      <c r="BE24" s="1675">
        <f t="shared" si="15"/>
        <v>7250</v>
      </c>
      <c r="BF24" s="1676">
        <f t="shared" si="16"/>
        <v>7433.2982559198126</v>
      </c>
      <c r="BG24" s="1677">
        <f t="shared" si="17"/>
        <v>7621.2353260460968</v>
      </c>
      <c r="BH24" s="1676">
        <f t="shared" si="20"/>
        <v>7717.6405745739557</v>
      </c>
      <c r="BI24" s="1678">
        <f t="shared" si="18"/>
        <v>7814.0458231018147</v>
      </c>
      <c r="BJ24" s="956"/>
      <c r="BK24" s="956"/>
      <c r="BL24" s="956"/>
      <c r="BM24" s="956"/>
      <c r="BN24" s="956"/>
      <c r="BO24" s="956"/>
      <c r="BP24" s="956"/>
      <c r="BQ24" s="956"/>
      <c r="BR24" s="956"/>
      <c r="BS24" s="956"/>
      <c r="BT24" s="956"/>
      <c r="BU24" s="956"/>
      <c r="BV24" s="956"/>
      <c r="BW24" s="956"/>
      <c r="BX24" s="956"/>
      <c r="BY24" s="956"/>
      <c r="BZ24" s="956"/>
      <c r="CA24" s="956"/>
      <c r="CB24" s="956"/>
      <c r="CC24" s="956"/>
      <c r="CD24" s="956"/>
      <c r="CE24" s="956"/>
      <c r="CF24" s="956"/>
      <c r="CG24" s="956"/>
      <c r="CH24" s="956"/>
      <c r="CI24" s="956"/>
      <c r="CJ24" s="956"/>
      <c r="CK24" s="956"/>
      <c r="CL24" s="956"/>
      <c r="CM24" s="956"/>
      <c r="CN24" s="956"/>
      <c r="CO24" s="956"/>
      <c r="CP24" s="956"/>
      <c r="CQ24" s="956"/>
      <c r="CR24" s="956"/>
      <c r="CS24" s="956"/>
      <c r="CT24" s="956"/>
      <c r="CU24" s="956"/>
      <c r="CV24" s="956"/>
      <c r="CW24" s="956"/>
      <c r="CX24" s="956"/>
      <c r="CY24" s="956"/>
      <c r="CZ24" s="956"/>
    </row>
    <row r="25" spans="1:104" ht="16.5" thickBot="1" x14ac:dyDescent="0.3">
      <c r="A25" s="89"/>
      <c r="B25" s="119" t="s">
        <v>27</v>
      </c>
      <c r="C25" s="80">
        <v>2.5000000000000001E-3</v>
      </c>
      <c r="D25" s="6">
        <f t="shared" si="1"/>
        <v>1.0252831332277852</v>
      </c>
      <c r="E25" s="97">
        <v>763.02109048456714</v>
      </c>
      <c r="F25" s="102">
        <f>'Scenarios technology'!D172-E25</f>
        <v>0</v>
      </c>
      <c r="G25" s="80">
        <v>2.5000000000000001E-3</v>
      </c>
      <c r="H25" s="6">
        <f t="shared" si="2"/>
        <v>1.0252831332277852</v>
      </c>
      <c r="I25" s="97">
        <v>782.31265437089837</v>
      </c>
      <c r="J25" s="102">
        <f>'Scenarios technology'!D312-I25</f>
        <v>0</v>
      </c>
      <c r="K25" s="80">
        <f>C25/2</f>
        <v>1.25E-3</v>
      </c>
      <c r="L25" s="6">
        <f t="shared" si="3"/>
        <v>1.0252991134385754</v>
      </c>
      <c r="M25" s="97">
        <v>802.10447095826078</v>
      </c>
      <c r="N25" s="102">
        <f>'Scenarios technology'!D452-M25</f>
        <v>0</v>
      </c>
      <c r="O25" s="12">
        <f t="shared" si="4"/>
        <v>7.7800070556154788E-2</v>
      </c>
      <c r="P25" s="7"/>
      <c r="Q25" s="3" t="s">
        <v>140</v>
      </c>
      <c r="R25" s="153">
        <f>'Scenarios technology'!D6/'Scenarios technology'!D56</f>
        <v>0.58064316245344827</v>
      </c>
      <c r="S25" s="153">
        <f>'Scenarios technology'!D146/'Scenarios technology'!D196</f>
        <v>0.59345034062822333</v>
      </c>
      <c r="T25" s="153">
        <f>'Scenarios technology'!D286/'Scenarios technology'!D336</f>
        <v>0.60118929373034991</v>
      </c>
      <c r="U25" s="154">
        <f>'Scenarios technology'!D426/'Scenarios technology'!D476</f>
        <v>0.60823318967028084</v>
      </c>
      <c r="AG25" s="7"/>
      <c r="AH25" s="14"/>
      <c r="AI25" s="181" t="s">
        <v>0</v>
      </c>
      <c r="AJ25" s="201">
        <v>1</v>
      </c>
      <c r="AK25" s="197">
        <f>D67</f>
        <v>1.2325910818339567</v>
      </c>
      <c r="AL25" s="195">
        <f>I67/E67*AK25</f>
        <v>1.5236832106273941</v>
      </c>
      <c r="AM25" s="196">
        <f>M67/E67*AK25</f>
        <v>1.8895345881476975</v>
      </c>
      <c r="AP25" s="1674" t="str">
        <f t="shared" si="0"/>
        <v>&lt; 5km</v>
      </c>
      <c r="AQ25" s="1696">
        <f>'Scenarios technology'!$D32</f>
        <v>744.20524999999998</v>
      </c>
      <c r="AR25" s="1809">
        <f t="shared" si="5"/>
        <v>2.5000000000000001E-3</v>
      </c>
      <c r="AS25" s="1808">
        <f t="shared" si="6"/>
        <v>763.02109048456714</v>
      </c>
      <c r="AT25" s="1810">
        <f t="shared" si="7"/>
        <v>2.5000000000000001E-3</v>
      </c>
      <c r="AU25" s="1677">
        <f t="shared" si="8"/>
        <v>782.31265437089837</v>
      </c>
      <c r="AV25" s="1809">
        <f t="shared" si="9"/>
        <v>1.25E-3</v>
      </c>
      <c r="AW25" s="1678">
        <f t="shared" si="10"/>
        <v>802.10447095826078</v>
      </c>
      <c r="AX25" s="956"/>
      <c r="AY25" s="1674" t="str">
        <f t="shared" si="11"/>
        <v>&lt; 5km</v>
      </c>
      <c r="AZ25" s="1809">
        <f t="shared" si="12"/>
        <v>2.5000000000000001E-3</v>
      </c>
      <c r="BA25" s="1810">
        <f t="shared" si="13"/>
        <v>2.5000000000000001E-3</v>
      </c>
      <c r="BB25" s="1811">
        <f t="shared" si="14"/>
        <v>1.25E-3</v>
      </c>
      <c r="BC25" s="956"/>
      <c r="BD25" s="1674" t="str">
        <f t="shared" si="15"/>
        <v>&lt; 5km</v>
      </c>
      <c r="BE25" s="1675">
        <f t="shared" si="15"/>
        <v>744.20524999999998</v>
      </c>
      <c r="BF25" s="1676">
        <f t="shared" si="16"/>
        <v>763.02109048456714</v>
      </c>
      <c r="BG25" s="1677">
        <f t="shared" si="17"/>
        <v>782.31265437089837</v>
      </c>
      <c r="BH25" s="1676">
        <f t="shared" si="20"/>
        <v>792.20856266457963</v>
      </c>
      <c r="BI25" s="1678">
        <f t="shared" si="18"/>
        <v>802.10447095826078</v>
      </c>
      <c r="BJ25" s="956"/>
      <c r="BK25" s="956"/>
      <c r="BL25" s="956"/>
      <c r="BM25" s="956"/>
      <c r="BN25" s="956"/>
      <c r="BO25" s="956"/>
      <c r="BP25" s="956"/>
      <c r="BQ25" s="956"/>
      <c r="BR25" s="956"/>
      <c r="BS25" s="956"/>
      <c r="BT25" s="956"/>
      <c r="BU25" s="956"/>
      <c r="BV25" s="956"/>
      <c r="BW25" s="956"/>
      <c r="BX25" s="956"/>
      <c r="BY25" s="956"/>
      <c r="BZ25" s="956"/>
      <c r="CA25" s="956"/>
      <c r="CB25" s="956"/>
      <c r="CC25" s="956"/>
      <c r="CD25" s="956"/>
      <c r="CE25" s="956"/>
      <c r="CF25" s="956"/>
      <c r="CG25" s="956"/>
      <c r="CH25" s="956"/>
      <c r="CI25" s="956"/>
      <c r="CJ25" s="956"/>
      <c r="CK25" s="956"/>
      <c r="CL25" s="956"/>
      <c r="CM25" s="956"/>
      <c r="CN25" s="956"/>
      <c r="CO25" s="956"/>
      <c r="CP25" s="956"/>
      <c r="CQ25" s="956"/>
      <c r="CR25" s="956"/>
      <c r="CS25" s="956"/>
      <c r="CT25" s="956"/>
      <c r="CU25" s="956"/>
      <c r="CV25" s="956"/>
      <c r="CW25" s="956"/>
      <c r="CX25" s="956"/>
      <c r="CY25" s="956"/>
      <c r="CZ25" s="956"/>
    </row>
    <row r="26" spans="1:104" ht="16.5" thickBot="1" x14ac:dyDescent="0.3">
      <c r="A26" s="89"/>
      <c r="B26" s="119" t="s">
        <v>28</v>
      </c>
      <c r="C26" s="81">
        <v>2.5000000000000001E-3</v>
      </c>
      <c r="D26" s="6">
        <f t="shared" si="1"/>
        <v>1.0252831332277852</v>
      </c>
      <c r="E26" s="97">
        <v>4998.6388841697499</v>
      </c>
      <c r="F26" s="102">
        <f>'Scenarios technology'!D173-E26</f>
        <v>0</v>
      </c>
      <c r="G26" s="81">
        <v>2.5000000000000001E-3</v>
      </c>
      <c r="H26" s="6">
        <f t="shared" si="2"/>
        <v>1.0252831332277852</v>
      </c>
      <c r="I26" s="97">
        <v>5125.0201370358009</v>
      </c>
      <c r="J26" s="102">
        <f>'Scenarios technology'!D313-I26</f>
        <v>0</v>
      </c>
      <c r="K26" s="81">
        <f>C26/2</f>
        <v>1.25E-3</v>
      </c>
      <c r="L26" s="6">
        <f t="shared" si="3"/>
        <v>1.0252991134385754</v>
      </c>
      <c r="M26" s="97">
        <v>5254.6786028576525</v>
      </c>
      <c r="N26" s="102">
        <f>'Scenarios technology'!D453-M26</f>
        <v>0</v>
      </c>
      <c r="O26" s="12">
        <f t="shared" si="4"/>
        <v>7.7800070556154788E-2</v>
      </c>
      <c r="P26" s="7"/>
      <c r="Q26" s="3" t="s">
        <v>141</v>
      </c>
      <c r="R26" s="153">
        <f>('Scenarios technology'!D24+'Scenarios technology'!D30+'Scenarios technology'!D51)/'Scenarios technology'!D56</f>
        <v>0.19406322611031235</v>
      </c>
      <c r="S26" s="153">
        <f>('Scenarios technology'!D164+'Scenarios technology'!D170+'Scenarios technology'!D191)/'Scenarios technology'!D196</f>
        <v>0.16403319862256752</v>
      </c>
      <c r="T26" s="153">
        <f>('Scenarios technology'!D304+'Scenarios technology'!D310+'Scenarios technology'!D331)/'Scenarios technology'!D336</f>
        <v>0.14326955963690324</v>
      </c>
      <c r="U26" s="154">
        <f>('Scenarios technology'!D444+'Scenarios technology'!D450+'Scenarios technology'!D471)/'Scenarios technology'!D476</f>
        <v>0.12032979341141091</v>
      </c>
      <c r="AG26" s="7"/>
      <c r="AH26" s="14"/>
      <c r="AI26"/>
      <c r="AJ26" s="70"/>
      <c r="AK26" s="70"/>
      <c r="AL26" s="70"/>
      <c r="AM26" s="70"/>
      <c r="AP26" s="1674" t="str">
        <f t="shared" si="0"/>
        <v>5-25 km</v>
      </c>
      <c r="AQ26" s="1696">
        <f>'Scenarios technology'!$D33</f>
        <v>4875.3741499999996</v>
      </c>
      <c r="AR26" s="1809">
        <f t="shared" si="5"/>
        <v>2.5000000000000001E-3</v>
      </c>
      <c r="AS26" s="1808">
        <f t="shared" si="6"/>
        <v>4998.6388841697499</v>
      </c>
      <c r="AT26" s="1810">
        <f t="shared" si="7"/>
        <v>2.5000000000000001E-3</v>
      </c>
      <c r="AU26" s="1677">
        <f t="shared" si="8"/>
        <v>5125.0201370358009</v>
      </c>
      <c r="AV26" s="1809">
        <f t="shared" si="9"/>
        <v>1.25E-3</v>
      </c>
      <c r="AW26" s="1678">
        <f t="shared" si="10"/>
        <v>5254.6786028576525</v>
      </c>
      <c r="AX26" s="956"/>
      <c r="AY26" s="1674" t="str">
        <f t="shared" si="11"/>
        <v>5-25 km</v>
      </c>
      <c r="AZ26" s="1809">
        <f t="shared" si="12"/>
        <v>2.5000000000000001E-3</v>
      </c>
      <c r="BA26" s="1810">
        <f t="shared" si="13"/>
        <v>2.5000000000000001E-3</v>
      </c>
      <c r="BB26" s="1811">
        <f t="shared" si="14"/>
        <v>1.25E-3</v>
      </c>
      <c r="BC26" s="956"/>
      <c r="BD26" s="1674" t="str">
        <f t="shared" si="15"/>
        <v>5-25 km</v>
      </c>
      <c r="BE26" s="1675">
        <f t="shared" si="15"/>
        <v>4875.3741499999996</v>
      </c>
      <c r="BF26" s="1676">
        <f t="shared" si="16"/>
        <v>4998.6388841697499</v>
      </c>
      <c r="BG26" s="1677">
        <f t="shared" si="17"/>
        <v>5125.0201370358009</v>
      </c>
      <c r="BH26" s="1676">
        <f t="shared" si="20"/>
        <v>5189.8493699467272</v>
      </c>
      <c r="BI26" s="1678">
        <f t="shared" si="18"/>
        <v>5254.6786028576525</v>
      </c>
      <c r="BJ26" s="956"/>
      <c r="BK26" s="2003" t="str">
        <f>AY4</f>
        <v>Growth rates</v>
      </c>
      <c r="BL26" s="2004"/>
      <c r="BM26" s="2004"/>
      <c r="BN26" s="2005"/>
      <c r="BO26" s="956"/>
      <c r="BP26" s="956"/>
      <c r="BQ26" s="956"/>
      <c r="BR26" s="956"/>
      <c r="BS26" s="956"/>
      <c r="BT26" s="956"/>
      <c r="BU26" s="956"/>
      <c r="BV26" s="956"/>
      <c r="BW26" s="956"/>
      <c r="BX26" s="956"/>
      <c r="BY26" s="956"/>
      <c r="BZ26" s="956"/>
      <c r="CA26" s="956"/>
      <c r="CB26" s="956"/>
      <c r="CC26" s="956"/>
      <c r="CD26" s="956"/>
      <c r="CE26" s="956"/>
      <c r="CF26" s="956"/>
      <c r="CG26" s="956"/>
      <c r="CH26" s="956"/>
      <c r="CI26" s="956"/>
      <c r="CJ26" s="956"/>
      <c r="CK26" s="956"/>
      <c r="CL26" s="956"/>
      <c r="CM26" s="956"/>
      <c r="CN26" s="956"/>
      <c r="CO26" s="956"/>
      <c r="CP26" s="956"/>
      <c r="CQ26" s="956"/>
      <c r="CR26" s="956"/>
      <c r="CS26" s="956"/>
      <c r="CT26" s="956"/>
      <c r="CU26" s="956"/>
      <c r="CV26" s="956"/>
      <c r="CW26" s="956"/>
      <c r="CX26" s="956"/>
      <c r="CY26" s="956"/>
      <c r="CZ26" s="956"/>
    </row>
    <row r="27" spans="1:104" ht="15.75" x14ac:dyDescent="0.25">
      <c r="A27" s="15"/>
      <c r="B27" s="119" t="s">
        <v>29</v>
      </c>
      <c r="C27" s="81">
        <v>2.5000000000000001E-3</v>
      </c>
      <c r="D27" s="6">
        <f t="shared" si="1"/>
        <v>1.0252831332277852</v>
      </c>
      <c r="E27" s="97">
        <v>1090.8892066775479</v>
      </c>
      <c r="F27" s="102">
        <f>'Scenarios technology'!D174-E27</f>
        <v>0</v>
      </c>
      <c r="G27" s="81">
        <v>2.5000000000000001E-3</v>
      </c>
      <c r="H27" s="6">
        <f t="shared" si="2"/>
        <v>1.0252831332277852</v>
      </c>
      <c r="I27" s="97">
        <v>1118.4703038267292</v>
      </c>
      <c r="J27" s="102">
        <f>'Scenarios technology'!D314-I27</f>
        <v>0</v>
      </c>
      <c r="K27" s="81">
        <f>C27/2</f>
        <v>1.25E-3</v>
      </c>
      <c r="L27" s="6">
        <f t="shared" si="3"/>
        <v>1.0252991134385754</v>
      </c>
      <c r="M27" s="97">
        <v>1146.7666109209194</v>
      </c>
      <c r="N27" s="102">
        <f>'Scenarios technology'!D454-M27</f>
        <v>0</v>
      </c>
      <c r="O27" s="12">
        <f t="shared" si="4"/>
        <v>7.7800070556154788E-2</v>
      </c>
      <c r="P27" s="152"/>
      <c r="Q27" s="3" t="s">
        <v>135</v>
      </c>
      <c r="R27" s="153">
        <f>'Scenarios technology'!D41/'Scenarios technology'!D56</f>
        <v>3.6422092753706815E-2</v>
      </c>
      <c r="S27" s="153">
        <f>'Scenarios technology'!D181/'Scenarios technology'!D196</f>
        <v>2.9917129005376953E-2</v>
      </c>
      <c r="T27" s="153">
        <f>'Scenarios technology'!D321/'Scenarios technology'!D336</f>
        <v>2.4435174250041585E-2</v>
      </c>
      <c r="U27" s="154">
        <f>'Scenarios technology'!D461/'Scenarios technology'!D476</f>
        <v>1.993876330117534E-2</v>
      </c>
      <c r="AG27" s="7"/>
      <c r="AH27" s="14"/>
      <c r="AI27" s="70"/>
      <c r="AJ27" s="70"/>
      <c r="AK27" s="70"/>
      <c r="AL27" s="70"/>
      <c r="AM27" s="70"/>
      <c r="AP27" s="1674" t="str">
        <f t="shared" si="0"/>
        <v>25-50km</v>
      </c>
      <c r="AQ27" s="1696">
        <f>'Scenarios technology'!$D34</f>
        <v>1063.9882499999999</v>
      </c>
      <c r="AR27" s="1809">
        <f t="shared" si="5"/>
        <v>2.5000000000000001E-3</v>
      </c>
      <c r="AS27" s="1808">
        <f t="shared" si="6"/>
        <v>1090.8892066775479</v>
      </c>
      <c r="AT27" s="1810">
        <f t="shared" si="7"/>
        <v>2.5000000000000001E-3</v>
      </c>
      <c r="AU27" s="1677">
        <f t="shared" si="8"/>
        <v>1118.4703038267292</v>
      </c>
      <c r="AV27" s="1809">
        <f t="shared" si="9"/>
        <v>1.25E-3</v>
      </c>
      <c r="AW27" s="1678">
        <f t="shared" si="10"/>
        <v>1146.7666109209194</v>
      </c>
      <c r="AX27" s="956"/>
      <c r="AY27" s="1674" t="str">
        <f t="shared" si="11"/>
        <v>25-50km</v>
      </c>
      <c r="AZ27" s="1809">
        <f t="shared" si="12"/>
        <v>2.5000000000000001E-3</v>
      </c>
      <c r="BA27" s="1810">
        <f t="shared" si="13"/>
        <v>2.5000000000000001E-3</v>
      </c>
      <c r="BB27" s="1811">
        <f t="shared" si="14"/>
        <v>1.25E-3</v>
      </c>
      <c r="BC27" s="956"/>
      <c r="BD27" s="1674" t="str">
        <f t="shared" si="15"/>
        <v>25-50km</v>
      </c>
      <c r="BE27" s="1675">
        <f t="shared" si="15"/>
        <v>1063.9882499999999</v>
      </c>
      <c r="BF27" s="1676">
        <f t="shared" si="16"/>
        <v>1090.8892066775479</v>
      </c>
      <c r="BG27" s="1677">
        <f t="shared" si="17"/>
        <v>1118.4703038267292</v>
      </c>
      <c r="BH27" s="1676">
        <f t="shared" si="20"/>
        <v>1132.6184573738242</v>
      </c>
      <c r="BI27" s="1678">
        <f t="shared" si="18"/>
        <v>1146.7666109209194</v>
      </c>
      <c r="BJ27" s="956"/>
      <c r="BK27" s="1799" t="s">
        <v>500</v>
      </c>
      <c r="BL27" s="1800" t="str">
        <f>AZ4</f>
        <v>2010-2020</v>
      </c>
      <c r="BM27" s="1837" t="str">
        <f>BA4</f>
        <v>2020-2030</v>
      </c>
      <c r="BN27" s="1802" t="str">
        <f>BB4</f>
        <v>2030-2050</v>
      </c>
      <c r="BO27" s="956"/>
      <c r="BP27" s="956"/>
      <c r="BQ27" s="956"/>
      <c r="BR27" s="956"/>
      <c r="BS27" s="956"/>
      <c r="BT27" s="956"/>
      <c r="BU27" s="956"/>
      <c r="BV27" s="956"/>
      <c r="BW27" s="956"/>
      <c r="BX27" s="956"/>
      <c r="BY27" s="956"/>
      <c r="BZ27" s="956"/>
      <c r="CA27" s="956"/>
      <c r="CB27" s="956"/>
      <c r="CC27" s="956"/>
      <c r="CD27" s="956"/>
      <c r="CE27" s="956"/>
      <c r="CF27" s="956"/>
      <c r="CG27" s="956"/>
      <c r="CH27" s="956"/>
      <c r="CI27" s="956"/>
      <c r="CJ27" s="956"/>
      <c r="CK27" s="956"/>
      <c r="CL27" s="956"/>
      <c r="CM27" s="956"/>
      <c r="CN27" s="956"/>
      <c r="CO27" s="956"/>
      <c r="CP27" s="956"/>
      <c r="CQ27" s="956"/>
      <c r="CR27" s="956"/>
      <c r="CS27" s="956"/>
      <c r="CT27" s="956"/>
      <c r="CU27" s="956"/>
      <c r="CV27" s="956"/>
      <c r="CW27" s="956"/>
      <c r="CX27" s="956"/>
      <c r="CY27" s="956"/>
      <c r="CZ27" s="956"/>
    </row>
    <row r="28" spans="1:104" ht="16.5" thickBot="1" x14ac:dyDescent="0.3">
      <c r="A28" s="89"/>
      <c r="B28" s="119" t="s">
        <v>30</v>
      </c>
      <c r="C28" s="81">
        <v>2.5000000000000001E-3</v>
      </c>
      <c r="D28" s="6">
        <f t="shared" si="1"/>
        <v>1.0252831332277852</v>
      </c>
      <c r="E28" s="97">
        <v>580.74907458794792</v>
      </c>
      <c r="F28" s="102">
        <f>'Scenarios technology'!D175-E28</f>
        <v>0</v>
      </c>
      <c r="G28" s="81">
        <v>2.5000000000000001E-3</v>
      </c>
      <c r="H28" s="6">
        <f t="shared" si="2"/>
        <v>1.0252831332277852</v>
      </c>
      <c r="I28" s="97">
        <v>595.43223081266797</v>
      </c>
      <c r="J28" s="102">
        <f>'Scenarios technology'!D315-I28</f>
        <v>0</v>
      </c>
      <c r="K28" s="81">
        <f>C28/2</f>
        <v>1.25E-3</v>
      </c>
      <c r="L28" s="6">
        <f t="shared" si="3"/>
        <v>1.0252991134385754</v>
      </c>
      <c r="M28" s="97">
        <v>610.49613836498168</v>
      </c>
      <c r="N28" s="102">
        <f>'Scenarios technology'!D455-M28</f>
        <v>0</v>
      </c>
      <c r="O28" s="12">
        <f t="shared" si="4"/>
        <v>7.7800070556154788E-2</v>
      </c>
      <c r="P28" s="152"/>
      <c r="Q28" s="11" t="s">
        <v>142</v>
      </c>
      <c r="R28" s="155">
        <f>'Scenarios technology'!D46/'Scenarios technology'!D56</f>
        <v>0.18887151868253255</v>
      </c>
      <c r="S28" s="155">
        <f>'Scenarios technology'!D186/'Scenarios technology'!D196</f>
        <v>0.21259933174383239</v>
      </c>
      <c r="T28" s="155">
        <f>'Scenarios technology'!D326/'Scenarios technology'!D336</f>
        <v>0.23110597238270539</v>
      </c>
      <c r="U28" s="156">
        <f>'Scenarios technology'!D466/'Scenarios technology'!D476</f>
        <v>0.25149825361713302</v>
      </c>
      <c r="AG28" s="7"/>
      <c r="AH28" s="14"/>
      <c r="AI28" s="70"/>
      <c r="AJ28" s="70"/>
      <c r="AK28" s="70"/>
      <c r="AL28" s="70"/>
      <c r="AM28" s="70"/>
      <c r="AP28" s="1674" t="str">
        <f t="shared" si="0"/>
        <v>&gt;50 km</v>
      </c>
      <c r="AQ28" s="1696">
        <f>'Scenarios technology'!$D35</f>
        <v>566.428</v>
      </c>
      <c r="AR28" s="1809">
        <f t="shared" si="5"/>
        <v>2.5000000000000001E-3</v>
      </c>
      <c r="AS28" s="1808">
        <f t="shared" si="6"/>
        <v>580.74907458794792</v>
      </c>
      <c r="AT28" s="1810">
        <f t="shared" si="7"/>
        <v>2.5000000000000001E-3</v>
      </c>
      <c r="AU28" s="1677">
        <f t="shared" si="8"/>
        <v>595.43223081266797</v>
      </c>
      <c r="AV28" s="1809">
        <f t="shared" si="9"/>
        <v>1.25E-3</v>
      </c>
      <c r="AW28" s="1678">
        <f t="shared" si="10"/>
        <v>610.49613836498168</v>
      </c>
      <c r="AX28" s="956"/>
      <c r="AY28" s="1674" t="str">
        <f t="shared" si="11"/>
        <v>&gt;50 km</v>
      </c>
      <c r="AZ28" s="1809">
        <f t="shared" si="12"/>
        <v>2.5000000000000001E-3</v>
      </c>
      <c r="BA28" s="1810">
        <f t="shared" si="13"/>
        <v>2.5000000000000001E-3</v>
      </c>
      <c r="BB28" s="1811">
        <f t="shared" si="14"/>
        <v>1.25E-3</v>
      </c>
      <c r="BC28" s="956"/>
      <c r="BD28" s="1674" t="str">
        <f t="shared" si="15"/>
        <v>&gt;50 km</v>
      </c>
      <c r="BE28" s="1675">
        <f t="shared" si="15"/>
        <v>566.428</v>
      </c>
      <c r="BF28" s="1676">
        <f t="shared" si="16"/>
        <v>580.74907458794792</v>
      </c>
      <c r="BG28" s="1677">
        <f t="shared" si="17"/>
        <v>595.43223081266797</v>
      </c>
      <c r="BH28" s="1676">
        <f t="shared" si="20"/>
        <v>602.96418458882476</v>
      </c>
      <c r="BI28" s="1678">
        <f t="shared" si="18"/>
        <v>610.49613836498168</v>
      </c>
      <c r="BJ28" s="956"/>
      <c r="BK28" s="1807" t="str">
        <f>AY6</f>
        <v>Cars and vans &lt; 2 t</v>
      </c>
      <c r="BL28" s="1809">
        <f>AZ6</f>
        <v>2.2086522833322908E-2</v>
      </c>
      <c r="BM28" s="1838">
        <f>BA6</f>
        <v>2.1769965944761438E-2</v>
      </c>
      <c r="BN28" s="1811">
        <f>BB6</f>
        <v>1.0808313062713237E-2</v>
      </c>
      <c r="BO28" s="956"/>
      <c r="BP28" s="956"/>
      <c r="BQ28" s="956"/>
      <c r="BR28" s="956"/>
      <c r="BS28" s="956"/>
      <c r="BT28" s="956"/>
      <c r="BU28" s="956"/>
      <c r="BV28" s="956"/>
      <c r="BW28" s="956"/>
      <c r="BX28" s="956"/>
      <c r="BY28" s="956"/>
      <c r="BZ28" s="956"/>
      <c r="CA28" s="956"/>
      <c r="CB28" s="956"/>
      <c r="CC28" s="956"/>
      <c r="CD28" s="956"/>
      <c r="CE28" s="956"/>
      <c r="CF28" s="956"/>
      <c r="CG28" s="956"/>
      <c r="CH28" s="956"/>
      <c r="CI28" s="956"/>
      <c r="CJ28" s="956"/>
      <c r="CK28" s="956"/>
      <c r="CL28" s="956"/>
      <c r="CM28" s="956"/>
      <c r="CN28" s="956"/>
      <c r="CO28" s="956"/>
      <c r="CP28" s="956"/>
      <c r="CQ28" s="956"/>
      <c r="CR28" s="956"/>
      <c r="CS28" s="956"/>
      <c r="CT28" s="956"/>
      <c r="CU28" s="956"/>
      <c r="CV28" s="956"/>
      <c r="CW28" s="956"/>
      <c r="CX28" s="956"/>
      <c r="CY28" s="956"/>
      <c r="CZ28" s="956"/>
    </row>
    <row r="29" spans="1:104" ht="16.5" thickBot="1" x14ac:dyDescent="0.3">
      <c r="A29" s="69"/>
      <c r="B29" s="128" t="s">
        <v>7</v>
      </c>
      <c r="C29" s="82">
        <v>2.5000000000000001E-3</v>
      </c>
      <c r="D29" s="13">
        <f t="shared" si="1"/>
        <v>1.0252831332277852</v>
      </c>
      <c r="E29" s="114">
        <v>1901.9002121375415</v>
      </c>
      <c r="F29" s="115">
        <f>'Scenarios technology'!D176-E29</f>
        <v>0</v>
      </c>
      <c r="G29" s="82">
        <v>2.5000000000000001E-3</v>
      </c>
      <c r="H29" s="13">
        <f t="shared" si="2"/>
        <v>1.0252831332277852</v>
      </c>
      <c r="I29" s="114">
        <v>1949.9862085869679</v>
      </c>
      <c r="J29" s="115">
        <f>'Scenarios technology'!D316-I29</f>
        <v>0</v>
      </c>
      <c r="K29" s="82">
        <f>C29/2</f>
        <v>1.25E-3</v>
      </c>
      <c r="L29" s="13">
        <f t="shared" si="3"/>
        <v>1.0252991134385754</v>
      </c>
      <c r="M29" s="114">
        <v>1999.3191308816672</v>
      </c>
      <c r="N29" s="115">
        <f>'Scenarios technology'!D456-M29</f>
        <v>0</v>
      </c>
      <c r="O29" s="22">
        <f t="shared" si="4"/>
        <v>7.7800070556154788E-2</v>
      </c>
      <c r="P29" s="7"/>
      <c r="Q29" s="18" t="s">
        <v>219</v>
      </c>
      <c r="R29" s="37">
        <v>2010</v>
      </c>
      <c r="S29" s="37">
        <v>2020</v>
      </c>
      <c r="T29" s="37">
        <v>2030</v>
      </c>
      <c r="U29" s="38">
        <v>2050</v>
      </c>
      <c r="AG29" s="7"/>
      <c r="AH29" s="14"/>
      <c r="AI29" s="70"/>
      <c r="AJ29" s="70"/>
      <c r="AK29" s="70"/>
      <c r="AL29" s="70"/>
      <c r="AM29" s="70"/>
      <c r="AP29" s="1708" t="str">
        <f t="shared" si="0"/>
        <v>International bus</v>
      </c>
      <c r="AQ29" s="1696">
        <f>'Scenarios technology'!$D36</f>
        <v>1855</v>
      </c>
      <c r="AR29" s="1827">
        <f t="shared" si="5"/>
        <v>2.5000000000000001E-3</v>
      </c>
      <c r="AS29" s="1828">
        <f t="shared" si="6"/>
        <v>1901.9002121375415</v>
      </c>
      <c r="AT29" s="1829">
        <f t="shared" si="7"/>
        <v>2.5000000000000001E-3</v>
      </c>
      <c r="AU29" s="1711">
        <f t="shared" si="8"/>
        <v>1949.9862085869679</v>
      </c>
      <c r="AV29" s="1827">
        <f t="shared" si="9"/>
        <v>1.25E-3</v>
      </c>
      <c r="AW29" s="1712">
        <f t="shared" si="10"/>
        <v>1999.3191308816672</v>
      </c>
      <c r="AX29" s="956"/>
      <c r="AY29" s="1708" t="str">
        <f t="shared" si="11"/>
        <v>International bus</v>
      </c>
      <c r="AZ29" s="1827">
        <f t="shared" si="12"/>
        <v>2.5000000000000001E-3</v>
      </c>
      <c r="BA29" s="1829">
        <f t="shared" si="13"/>
        <v>2.5000000000000001E-3</v>
      </c>
      <c r="BB29" s="1830">
        <f t="shared" si="14"/>
        <v>1.25E-3</v>
      </c>
      <c r="BC29" s="956"/>
      <c r="BD29" s="1708" t="str">
        <f t="shared" si="15"/>
        <v>International bus</v>
      </c>
      <c r="BE29" s="1709">
        <f t="shared" si="15"/>
        <v>1855</v>
      </c>
      <c r="BF29" s="1710">
        <f t="shared" si="16"/>
        <v>1901.9002121375415</v>
      </c>
      <c r="BG29" s="1711">
        <f t="shared" si="17"/>
        <v>1949.9862085869679</v>
      </c>
      <c r="BH29" s="1710">
        <f t="shared" si="20"/>
        <v>1974.6526697343174</v>
      </c>
      <c r="BI29" s="1712">
        <f t="shared" si="18"/>
        <v>1999.3191308816672</v>
      </c>
      <c r="BJ29" s="956"/>
      <c r="BK29" s="1807" t="str">
        <f>AY18</f>
        <v>Rail</v>
      </c>
      <c r="BL29" s="1809">
        <f>AZ18</f>
        <v>2.4999999999999467E-3</v>
      </c>
      <c r="BM29" s="1838">
        <f>BA18</f>
        <v>1.1506938935049726E-2</v>
      </c>
      <c r="BN29" s="1811">
        <f>BB18</f>
        <v>1.2499999999999734E-3</v>
      </c>
      <c r="BO29" s="956"/>
      <c r="BP29" s="956"/>
      <c r="BQ29" s="956"/>
      <c r="BR29" s="956"/>
      <c r="BS29" s="956"/>
      <c r="BT29" s="956"/>
      <c r="BU29" s="956"/>
      <c r="BV29" s="956"/>
      <c r="BW29" s="956"/>
      <c r="BX29" s="956"/>
      <c r="BY29" s="956"/>
      <c r="BZ29" s="956"/>
      <c r="CA29" s="956"/>
      <c r="CB29" s="956"/>
      <c r="CC29" s="956"/>
      <c r="CD29" s="956"/>
      <c r="CE29" s="956"/>
      <c r="CF29" s="956"/>
      <c r="CG29" s="956"/>
      <c r="CH29" s="956"/>
      <c r="CI29" s="956"/>
      <c r="CJ29" s="956"/>
      <c r="CK29" s="956"/>
      <c r="CL29" s="956"/>
      <c r="CM29" s="956"/>
      <c r="CN29" s="956"/>
      <c r="CO29" s="956"/>
      <c r="CP29" s="956"/>
      <c r="CQ29" s="956"/>
      <c r="CR29" s="956"/>
      <c r="CS29" s="956"/>
      <c r="CT29" s="956"/>
      <c r="CU29" s="956"/>
      <c r="CV29" s="956"/>
      <c r="CW29" s="956"/>
      <c r="CX29" s="956"/>
      <c r="CY29" s="956"/>
      <c r="CZ29" s="956"/>
    </row>
    <row r="30" spans="1:104" ht="16.5" thickBot="1" x14ac:dyDescent="0.3">
      <c r="A30" s="69"/>
      <c r="B30" s="116" t="s">
        <v>9</v>
      </c>
      <c r="C30" s="91">
        <f>('Scenarios technology'!D181/'Scenarios technology'!D41)^(1/10)-1</f>
        <v>-1.0000450028524455E-5</v>
      </c>
      <c r="D30" s="110">
        <f t="shared" si="1"/>
        <v>0.99989999999999979</v>
      </c>
      <c r="E30" s="111">
        <v>3247.9975610926463</v>
      </c>
      <c r="F30" s="112">
        <f>'Scenarios technology'!D181-E30</f>
        <v>0</v>
      </c>
      <c r="G30" s="91">
        <f>('Scenarios technology'!D321/'Scenarios technology'!D181)^(1/10)-1</f>
        <v>0</v>
      </c>
      <c r="H30" s="110">
        <f t="shared" si="2"/>
        <v>1</v>
      </c>
      <c r="I30" s="111">
        <v>3247.9975610926463</v>
      </c>
      <c r="J30" s="112">
        <f>'Scenarios technology'!D321-I30</f>
        <v>0</v>
      </c>
      <c r="K30" s="91">
        <f>('Scenarios technology'!D461/'Scenarios technology'!D321)^(1/20)-1</f>
        <v>0</v>
      </c>
      <c r="L30" s="110">
        <f t="shared" si="3"/>
        <v>1</v>
      </c>
      <c r="M30" s="111">
        <v>3247.9975610926463</v>
      </c>
      <c r="N30" s="112">
        <f>'Scenarios technology'!D461-M30</f>
        <v>0</v>
      </c>
      <c r="O30" s="113">
        <f t="shared" si="4"/>
        <v>-1.0000000000021103E-4</v>
      </c>
      <c r="Q30" s="3" t="s">
        <v>140</v>
      </c>
      <c r="R30" s="153">
        <f>('Scenarios technology'!D7+'Scenarios technology'!D12)/('Scenarios technology'!D7+'Scenarios technology'!D12+'Scenarios technology'!D25+'Scenarios technology'!D31+'Scenarios technology'!D41+'Scenarios technology'!D47+'Scenarios technology'!D52)</f>
        <v>0.74125343502793295</v>
      </c>
      <c r="S30" s="153">
        <f>('Scenarios technology'!D147+'Scenarios technology'!D152)/('Scenarios technology'!D147+'Scenarios technology'!D152+'Scenarios technology'!D165+'Scenarios technology'!D171+'Scenarios technology'!D181+'Scenarios technology'!D187+'Scenarios technology'!D192)</f>
        <v>0.77571175095547906</v>
      </c>
      <c r="T30" s="153">
        <f>('Scenarios technology'!D287+'Scenarios technology'!D292)/('Scenarios technology'!D287+'Scenarios technology'!D292+'Scenarios technology'!D305+'Scenarios technology'!D311+'Scenarios technology'!D321+'Scenarios technology'!D327+'Scenarios technology'!D332)</f>
        <v>0.79997412314095218</v>
      </c>
      <c r="U30" s="154">
        <f>('Scenarios technology'!D427+'Scenarios technology'!D432)/('Scenarios technology'!D427+'Scenarios technology'!D432+'Scenarios technology'!D445+'Scenarios technology'!D451+'Scenarios technology'!D461+'Scenarios technology'!D467+'Scenarios technology'!D472)</f>
        <v>0.8272150345868049</v>
      </c>
      <c r="AG30" s="7"/>
      <c r="AH30" s="6"/>
      <c r="AI30" s="70"/>
      <c r="AJ30" s="70"/>
      <c r="AK30" s="70"/>
      <c r="AL30" s="70"/>
      <c r="AM30" s="70"/>
      <c r="AP30" s="1660" t="str">
        <f t="shared" si="0"/>
        <v>Bicycle/walking</v>
      </c>
      <c r="AQ30" s="1661">
        <f>'Scenarios technology'!$D41</f>
        <v>3248.3223933319796</v>
      </c>
      <c r="AR30" s="1823">
        <f t="shared" si="5"/>
        <v>-1.0000450028524455E-5</v>
      </c>
      <c r="AS30" s="1824">
        <f t="shared" si="6"/>
        <v>3247.9975610926463</v>
      </c>
      <c r="AT30" s="1825">
        <f t="shared" si="7"/>
        <v>0</v>
      </c>
      <c r="AU30" s="1698">
        <f t="shared" si="8"/>
        <v>3247.9975610926463</v>
      </c>
      <c r="AV30" s="1823">
        <f t="shared" si="9"/>
        <v>0</v>
      </c>
      <c r="AW30" s="1699">
        <f t="shared" si="10"/>
        <v>3247.9975610926463</v>
      </c>
      <c r="AX30" s="956"/>
      <c r="AY30" s="1660" t="str">
        <f t="shared" si="11"/>
        <v>Bicycle/walking</v>
      </c>
      <c r="AZ30" s="1823">
        <f t="shared" si="12"/>
        <v>-1.0000450028524455E-5</v>
      </c>
      <c r="BA30" s="1825">
        <f t="shared" si="13"/>
        <v>0</v>
      </c>
      <c r="BB30" s="1826">
        <f t="shared" si="14"/>
        <v>0</v>
      </c>
      <c r="BC30" s="956"/>
      <c r="BD30" s="1660" t="str">
        <f t="shared" si="15"/>
        <v>Bicycle/walking</v>
      </c>
      <c r="BE30" s="1661">
        <f t="shared" si="15"/>
        <v>3248.3223933319796</v>
      </c>
      <c r="BF30" s="1697">
        <f t="shared" si="16"/>
        <v>3247.9975610926463</v>
      </c>
      <c r="BG30" s="1698">
        <f t="shared" si="17"/>
        <v>3247.9975610926463</v>
      </c>
      <c r="BH30" s="1697">
        <f t="shared" si="20"/>
        <v>3247.9975610926463</v>
      </c>
      <c r="BI30" s="1699">
        <f t="shared" si="18"/>
        <v>3247.9975610926463</v>
      </c>
      <c r="BJ30" s="956"/>
      <c r="BK30" s="1807" t="str">
        <f>AY23</f>
        <v>Bus</v>
      </c>
      <c r="BL30" s="1809">
        <f>AZ23</f>
        <v>2.4999521046025208E-3</v>
      </c>
      <c r="BM30" s="1838">
        <f>BA23</f>
        <v>2.4999999999999467E-3</v>
      </c>
      <c r="BN30" s="1811">
        <f>BB23</f>
        <v>1.2499999999999734E-3</v>
      </c>
      <c r="BO30" s="956"/>
      <c r="BP30" s="956"/>
      <c r="BQ30" s="956"/>
      <c r="BR30" s="956"/>
      <c r="BS30" s="956"/>
      <c r="BT30" s="956"/>
      <c r="BU30" s="956"/>
      <c r="BV30" s="956"/>
      <c r="BW30" s="956"/>
      <c r="BX30" s="956"/>
      <c r="BY30" s="956"/>
      <c r="BZ30" s="956"/>
      <c r="CA30" s="956"/>
      <c r="CB30" s="956"/>
      <c r="CC30" s="956"/>
      <c r="CD30" s="956"/>
      <c r="CE30" s="956"/>
      <c r="CF30" s="956"/>
      <c r="CG30" s="956"/>
      <c r="CH30" s="956"/>
      <c r="CI30" s="956"/>
      <c r="CJ30" s="956"/>
      <c r="CK30" s="956"/>
      <c r="CL30" s="956"/>
      <c r="CM30" s="956"/>
      <c r="CN30" s="956"/>
      <c r="CO30" s="956"/>
      <c r="CP30" s="956"/>
      <c r="CQ30" s="956"/>
      <c r="CR30" s="956"/>
      <c r="CS30" s="956"/>
      <c r="CT30" s="956"/>
      <c r="CU30" s="956"/>
      <c r="CV30" s="956"/>
      <c r="CW30" s="956"/>
      <c r="CX30" s="956"/>
      <c r="CY30" s="956"/>
      <c r="CZ30" s="956"/>
    </row>
    <row r="31" spans="1:104" ht="15.75" x14ac:dyDescent="0.25">
      <c r="A31" s="69"/>
      <c r="B31" s="119" t="s">
        <v>27</v>
      </c>
      <c r="C31" s="80">
        <v>0</v>
      </c>
      <c r="D31" s="6">
        <f t="shared" si="1"/>
        <v>1</v>
      </c>
      <c r="E31" s="97">
        <v>1808.6659086072461</v>
      </c>
      <c r="F31" s="102">
        <f>'Scenarios technology'!D182-E31</f>
        <v>0</v>
      </c>
      <c r="G31" s="80">
        <v>0</v>
      </c>
      <c r="H31" s="6">
        <f t="shared" si="2"/>
        <v>1</v>
      </c>
      <c r="I31" s="97">
        <v>1808.6659086072461</v>
      </c>
      <c r="J31" s="102">
        <f>'Scenarios technology'!D322-I31</f>
        <v>0</v>
      </c>
      <c r="K31" s="80">
        <f>G31/2</f>
        <v>0</v>
      </c>
      <c r="L31" s="6">
        <f t="shared" si="3"/>
        <v>1</v>
      </c>
      <c r="M31" s="97">
        <v>1808.6659086072461</v>
      </c>
      <c r="N31" s="102">
        <f>'Scenarios technology'!D462-M31</f>
        <v>0</v>
      </c>
      <c r="O31" s="12">
        <f t="shared" si="4"/>
        <v>0</v>
      </c>
      <c r="Q31" s="3" t="s">
        <v>141</v>
      </c>
      <c r="R31" s="153">
        <f>('Scenarios technology'!D25+'Scenarios technology'!D31+'Scenarios technology'!D52)/('Scenarios technology'!D7+'Scenarios technology'!D12+'Scenarios technology'!D25+'Scenarios technology'!D31+'Scenarios technology'!D41+'Scenarios technology'!D47+'Scenarios technology'!D52)</f>
        <v>0.20330455076140186</v>
      </c>
      <c r="S31" s="153">
        <f>('Scenarios technology'!D165+'Scenarios technology'!D171+'Scenarios technology'!D192)/('Scenarios technology'!D147+'Scenarios technology'!D152+'Scenarios technology'!D165+'Scenarios technology'!D171+'Scenarios technology'!D181+'Scenarios technology'!D187+'Scenarios technology'!D192)</f>
        <v>0.17547837106312736</v>
      </c>
      <c r="T31" s="153">
        <f>('Scenarios technology'!D305+'Scenarios technology'!D311+'Scenarios technology'!D332)/('Scenarios technology'!D287+'Scenarios technology'!D292+'Scenarios technology'!D305+'Scenarios technology'!D311+'Scenarios technology'!D321+'Scenarios technology'!D327+'Scenarios technology'!D332)</f>
        <v>0.15721582873388071</v>
      </c>
      <c r="U31" s="154">
        <f>('Scenarios technology'!D445+'Scenarios technology'!D451+'Scenarios technology'!D472)/('Scenarios technology'!D427+'Scenarios technology'!D432+'Scenarios technology'!D445+'Scenarios technology'!D451+'Scenarios technology'!D461+'Scenarios technology'!D467+'Scenarios technology'!D472)</f>
        <v>0.13458804094137747</v>
      </c>
      <c r="W31" s="7"/>
      <c r="X31" s="7"/>
      <c r="Y31" s="7"/>
      <c r="Z31" s="7"/>
      <c r="AA31" s="7"/>
      <c r="AB31" s="7"/>
      <c r="AC31" s="7"/>
      <c r="AD31" s="7"/>
      <c r="AE31" s="7"/>
      <c r="AF31" s="7"/>
      <c r="AG31" s="7"/>
      <c r="AH31" s="6"/>
      <c r="AI31" s="70"/>
      <c r="AJ31" s="70"/>
      <c r="AK31" s="70"/>
      <c r="AL31" s="70"/>
      <c r="AM31" s="70"/>
      <c r="AP31" s="1674" t="str">
        <f t="shared" si="0"/>
        <v>&lt; 5km</v>
      </c>
      <c r="AQ31" s="1661">
        <f>'Scenarios technology'!$D42</f>
        <v>1808.6659086072461</v>
      </c>
      <c r="AR31" s="1809">
        <f t="shared" si="5"/>
        <v>0</v>
      </c>
      <c r="AS31" s="1808">
        <f t="shared" si="6"/>
        <v>1808.6659086072461</v>
      </c>
      <c r="AT31" s="1810">
        <f t="shared" si="7"/>
        <v>0</v>
      </c>
      <c r="AU31" s="1677">
        <f t="shared" si="8"/>
        <v>1808.6659086072461</v>
      </c>
      <c r="AV31" s="1809">
        <f t="shared" si="9"/>
        <v>0</v>
      </c>
      <c r="AW31" s="1678">
        <f t="shared" si="10"/>
        <v>1808.6659086072461</v>
      </c>
      <c r="AX31" s="956"/>
      <c r="AY31" s="1674" t="str">
        <f t="shared" si="11"/>
        <v>&lt; 5km</v>
      </c>
      <c r="AZ31" s="1809">
        <f t="shared" si="12"/>
        <v>0</v>
      </c>
      <c r="BA31" s="1810">
        <f t="shared" si="13"/>
        <v>0</v>
      </c>
      <c r="BB31" s="1811">
        <f t="shared" si="14"/>
        <v>0</v>
      </c>
      <c r="BC31" s="956"/>
      <c r="BD31" s="1674" t="str">
        <f t="shared" si="15"/>
        <v>&lt; 5km</v>
      </c>
      <c r="BE31" s="1675">
        <f t="shared" si="15"/>
        <v>1808.6659086072461</v>
      </c>
      <c r="BF31" s="1676">
        <f t="shared" si="16"/>
        <v>1808.6659086072461</v>
      </c>
      <c r="BG31" s="1677">
        <f t="shared" si="17"/>
        <v>1808.6659086072461</v>
      </c>
      <c r="BH31" s="1676">
        <f t="shared" si="20"/>
        <v>1808.6659086072461</v>
      </c>
      <c r="BI31" s="1678">
        <f t="shared" si="18"/>
        <v>1808.6659086072461</v>
      </c>
      <c r="BJ31" s="956"/>
      <c r="BK31" s="1807" t="str">
        <f>AY30</f>
        <v>Bicycle/walking</v>
      </c>
      <c r="BL31" s="1809">
        <f>AZ30</f>
        <v>-1.0000450028524455E-5</v>
      </c>
      <c r="BM31" s="1838">
        <f>BA30</f>
        <v>0</v>
      </c>
      <c r="BN31" s="1811">
        <f>BB30</f>
        <v>0</v>
      </c>
      <c r="BO31" s="956"/>
      <c r="BP31" s="956"/>
      <c r="BQ31" s="956"/>
      <c r="BR31" s="956"/>
      <c r="BS31" s="956"/>
      <c r="BT31" s="956"/>
      <c r="BU31" s="956"/>
      <c r="BV31" s="956"/>
      <c r="BW31" s="956"/>
      <c r="BX31" s="956"/>
      <c r="BY31" s="956"/>
      <c r="BZ31" s="956"/>
      <c r="CA31" s="956"/>
      <c r="CB31" s="956"/>
      <c r="CC31" s="956"/>
      <c r="CD31" s="956"/>
      <c r="CE31" s="956"/>
      <c r="CF31" s="956"/>
      <c r="CG31" s="956"/>
      <c r="CH31" s="956"/>
      <c r="CI31" s="956"/>
      <c r="CJ31" s="956"/>
      <c r="CK31" s="956"/>
      <c r="CL31" s="956"/>
      <c r="CM31" s="956"/>
      <c r="CN31" s="956"/>
      <c r="CO31" s="956"/>
      <c r="CP31" s="956"/>
      <c r="CQ31" s="956"/>
      <c r="CR31" s="956"/>
      <c r="CS31" s="956"/>
      <c r="CT31" s="956"/>
      <c r="CU31" s="956"/>
      <c r="CV31" s="956"/>
      <c r="CW31" s="956"/>
      <c r="CX31" s="956"/>
      <c r="CY31" s="956"/>
      <c r="CZ31" s="956"/>
    </row>
    <row r="32" spans="1:104" ht="15.75" x14ac:dyDescent="0.25">
      <c r="A32" s="69"/>
      <c r="B32" s="119" t="s">
        <v>28</v>
      </c>
      <c r="C32" s="81">
        <v>0</v>
      </c>
      <c r="D32" s="6">
        <f t="shared" si="1"/>
        <v>1</v>
      </c>
      <c r="E32" s="97">
        <v>1309.0739245127879</v>
      </c>
      <c r="F32" s="102">
        <f>'Scenarios technology'!D183-E32</f>
        <v>0</v>
      </c>
      <c r="G32" s="81">
        <v>0</v>
      </c>
      <c r="H32" s="6">
        <f t="shared" si="2"/>
        <v>1</v>
      </c>
      <c r="I32" s="97">
        <v>1309.0739245127879</v>
      </c>
      <c r="J32" s="102">
        <f>'Scenarios technology'!D323-I32</f>
        <v>0</v>
      </c>
      <c r="K32" s="81">
        <f>G32/2</f>
        <v>0</v>
      </c>
      <c r="L32" s="6">
        <f t="shared" si="3"/>
        <v>1</v>
      </c>
      <c r="M32" s="97">
        <v>1309.0739245127879</v>
      </c>
      <c r="N32" s="102">
        <f>'Scenarios technology'!D463-M32</f>
        <v>0</v>
      </c>
      <c r="O32" s="12">
        <f t="shared" si="4"/>
        <v>0</v>
      </c>
      <c r="P32" s="73"/>
      <c r="Q32" s="3" t="s">
        <v>135</v>
      </c>
      <c r="R32" s="153">
        <f>'Scenarios technology'!D41/('Scenarios technology'!D7+'Scenarios technology'!D12+'Scenarios technology'!D25+'Scenarios technology'!D31+'Scenarios technology'!D41+'Scenarios technology'!D47+'Scenarios technology'!D52)</f>
        <v>4.8434083234657851E-2</v>
      </c>
      <c r="S32" s="153">
        <f>'Scenarios technology'!D181/('Scenarios technology'!D147+'Scenarios technology'!D152+'Scenarios technology'!D165+'Scenarios technology'!D171+'Scenarios technology'!D181+'Scenarios technology'!D187+'Scenarios technology'!D192)</f>
        <v>4.0733279179803579E-2</v>
      </c>
      <c r="T32" s="153">
        <f>'Scenarios technology'!D321/('Scenarios technology'!D287+'Scenarios technology'!D292+'Scenarios technology'!D305+'Scenarios technology'!D311+'Scenarios technology'!D321+'Scenarios technology'!D327+'Scenarios technology'!D332)</f>
        <v>3.3871494608356457E-2</v>
      </c>
      <c r="U32" s="154">
        <f>'Scenarios technology'!D461/('Scenarios technology'!D427+'Scenarios technology'!D432+'Scenarios technology'!D445+'Scenarios technology'!D451+'Scenarios technology'!D461+'Scenarios technology'!D467+'Scenarios technology'!D472)</f>
        <v>2.8253327472271134E-2</v>
      </c>
      <c r="W32" s="48"/>
      <c r="X32" s="48"/>
      <c r="Y32" s="48"/>
      <c r="Z32" s="48"/>
      <c r="AA32" s="48"/>
      <c r="AB32" s="48"/>
      <c r="AC32" s="48"/>
      <c r="AD32" s="48"/>
      <c r="AE32" s="48"/>
      <c r="AF32" s="48"/>
      <c r="AG32" s="48"/>
      <c r="AH32" s="6"/>
      <c r="AI32" s="70"/>
      <c r="AJ32" s="70"/>
      <c r="AK32" s="70"/>
      <c r="AL32" s="70"/>
      <c r="AM32" s="70"/>
      <c r="AP32" s="1674" t="str">
        <f t="shared" si="0"/>
        <v>5-25 km</v>
      </c>
      <c r="AQ32" s="1661">
        <f>'Scenarios technology'!$D43</f>
        <v>1309.0739245127879</v>
      </c>
      <c r="AR32" s="1809">
        <f t="shared" si="5"/>
        <v>0</v>
      </c>
      <c r="AS32" s="1808">
        <f t="shared" si="6"/>
        <v>1309.0739245127879</v>
      </c>
      <c r="AT32" s="1810">
        <f t="shared" si="7"/>
        <v>0</v>
      </c>
      <c r="AU32" s="1677">
        <f t="shared" si="8"/>
        <v>1309.0739245127879</v>
      </c>
      <c r="AV32" s="1809">
        <f t="shared" si="9"/>
        <v>0</v>
      </c>
      <c r="AW32" s="1678">
        <f t="shared" si="10"/>
        <v>1309.0739245127879</v>
      </c>
      <c r="AX32" s="956"/>
      <c r="AY32" s="1674" t="str">
        <f t="shared" si="11"/>
        <v>5-25 km</v>
      </c>
      <c r="AZ32" s="1809">
        <f t="shared" si="12"/>
        <v>0</v>
      </c>
      <c r="BA32" s="1810">
        <f t="shared" si="13"/>
        <v>0</v>
      </c>
      <c r="BB32" s="1811">
        <f t="shared" si="14"/>
        <v>0</v>
      </c>
      <c r="BC32" s="956"/>
      <c r="BD32" s="1674" t="str">
        <f t="shared" si="15"/>
        <v>5-25 km</v>
      </c>
      <c r="BE32" s="1675">
        <f t="shared" si="15"/>
        <v>1309.0739245127879</v>
      </c>
      <c r="BF32" s="1676">
        <f t="shared" si="16"/>
        <v>1309.0739245127879</v>
      </c>
      <c r="BG32" s="1677">
        <f t="shared" si="17"/>
        <v>1309.0739245127879</v>
      </c>
      <c r="BH32" s="1676">
        <f t="shared" si="20"/>
        <v>1309.0739245127879</v>
      </c>
      <c r="BI32" s="1678">
        <f t="shared" si="18"/>
        <v>1309.0739245127879</v>
      </c>
      <c r="BJ32" s="956"/>
      <c r="BK32" s="1807" t="str">
        <f>AY35</f>
        <v>Air</v>
      </c>
      <c r="BL32" s="1809">
        <f>AZ35</f>
        <v>3.2000000000000028E-2</v>
      </c>
      <c r="BM32" s="1838">
        <f>BA35</f>
        <v>2.8999999999999915E-2</v>
      </c>
      <c r="BN32" s="1811">
        <f>BB35</f>
        <v>1.4499999999999957E-2</v>
      </c>
      <c r="BO32" s="956"/>
      <c r="BP32" s="956"/>
      <c r="BQ32" s="956"/>
      <c r="BR32" s="956"/>
      <c r="BS32" s="956"/>
      <c r="BT32" s="956"/>
      <c r="BU32" s="956"/>
      <c r="BV32" s="956"/>
      <c r="BW32" s="956"/>
      <c r="BX32" s="956"/>
      <c r="BY32" s="956"/>
      <c r="BZ32" s="956"/>
      <c r="CA32" s="956"/>
      <c r="CB32" s="956"/>
      <c r="CC32" s="956"/>
      <c r="CD32" s="956"/>
      <c r="CE32" s="956"/>
      <c r="CF32" s="956"/>
      <c r="CG32" s="956"/>
      <c r="CH32" s="956"/>
      <c r="CI32" s="956"/>
      <c r="CJ32" s="956"/>
      <c r="CK32" s="956"/>
      <c r="CL32" s="956"/>
      <c r="CM32" s="956"/>
      <c r="CN32" s="956"/>
      <c r="CO32" s="956"/>
      <c r="CP32" s="956"/>
      <c r="CQ32" s="956"/>
      <c r="CR32" s="956"/>
      <c r="CS32" s="956"/>
      <c r="CT32" s="956"/>
      <c r="CU32" s="956"/>
      <c r="CV32" s="956"/>
      <c r="CW32" s="956"/>
      <c r="CX32" s="956"/>
      <c r="CY32" s="956"/>
      <c r="CZ32" s="956"/>
    </row>
    <row r="33" spans="1:104" ht="16.5" thickBot="1" x14ac:dyDescent="0.3">
      <c r="A33" s="89"/>
      <c r="B33" s="119" t="s">
        <v>29</v>
      </c>
      <c r="C33" s="81">
        <v>0</v>
      </c>
      <c r="D33" s="6">
        <f t="shared" si="1"/>
        <v>1</v>
      </c>
      <c r="E33" s="97">
        <v>104.92081330462295</v>
      </c>
      <c r="F33" s="102">
        <f>'Scenarios technology'!D184-E33</f>
        <v>0</v>
      </c>
      <c r="G33" s="81">
        <v>0</v>
      </c>
      <c r="H33" s="6">
        <f t="shared" si="2"/>
        <v>1</v>
      </c>
      <c r="I33" s="97">
        <v>104.92081330462295</v>
      </c>
      <c r="J33" s="102">
        <f>'Scenarios technology'!D324-I33</f>
        <v>0</v>
      </c>
      <c r="K33" s="81">
        <f>G33/2</f>
        <v>0</v>
      </c>
      <c r="L33" s="6">
        <f t="shared" si="3"/>
        <v>1</v>
      </c>
      <c r="M33" s="97">
        <v>104.92081330462295</v>
      </c>
      <c r="N33" s="102">
        <f>'Scenarios technology'!D464-M33</f>
        <v>0</v>
      </c>
      <c r="O33" s="12">
        <f t="shared" si="4"/>
        <v>0</v>
      </c>
      <c r="P33" s="73"/>
      <c r="Q33" s="11" t="s">
        <v>142</v>
      </c>
      <c r="R33" s="155">
        <f>'Scenarios technology'!D47/('Scenarios technology'!D7+'Scenarios technology'!D12+'Scenarios technology'!D25+'Scenarios technology'!D31+'Scenarios technology'!D41+'Scenarios technology'!D47+'Scenarios technology'!D52)</f>
        <v>7.0079309760072515E-3</v>
      </c>
      <c r="S33" s="155">
        <f>'Scenarios technology'!D187/('Scenarios technology'!D147+'Scenarios technology'!D152+'Scenarios technology'!D165+'Scenarios technology'!D171+'Scenarios technology'!D181+'Scenarios technology'!D187+'Scenarios technology'!D192)</f>
        <v>8.0765988015898266E-3</v>
      </c>
      <c r="T33" s="155">
        <f>'Scenarios technology'!D327/('Scenarios technology'!D287+'Scenarios technology'!D292+'Scenarios technology'!D305+'Scenarios technology'!D311+'Scenarios technology'!D321+'Scenarios technology'!D327+'Scenarios technology'!D332)</f>
        <v>8.9385535168105875E-3</v>
      </c>
      <c r="U33" s="156">
        <f>'Scenarios technology'!D467/('Scenarios technology'!D427+'Scenarios technology'!D432+'Scenarios technology'!D445+'Scenarios technology'!D451+'Scenarios technology'!D461+'Scenarios technology'!D467+'Scenarios technology'!D472)</f>
        <v>9.9435969995464966E-3</v>
      </c>
      <c r="W33" s="6"/>
      <c r="X33" s="6"/>
      <c r="Y33" s="6"/>
      <c r="Z33" s="6"/>
      <c r="AA33" s="6"/>
      <c r="AB33" s="6"/>
      <c r="AC33" s="6"/>
      <c r="AD33" s="6"/>
      <c r="AE33" s="6"/>
      <c r="AF33" s="6"/>
      <c r="AG33" s="6"/>
      <c r="AH33" s="6"/>
      <c r="AI33" s="70"/>
      <c r="AJ33" s="70"/>
      <c r="AK33" s="70"/>
      <c r="AL33" s="70"/>
      <c r="AM33" s="70"/>
      <c r="AP33" s="1674" t="str">
        <f t="shared" si="0"/>
        <v>25-50km</v>
      </c>
      <c r="AQ33" s="1661">
        <f>'Scenarios technology'!$D44</f>
        <v>104.92081330462295</v>
      </c>
      <c r="AR33" s="1809">
        <f t="shared" si="5"/>
        <v>0</v>
      </c>
      <c r="AS33" s="1808">
        <f t="shared" si="6"/>
        <v>104.92081330462295</v>
      </c>
      <c r="AT33" s="1810">
        <f t="shared" si="7"/>
        <v>0</v>
      </c>
      <c r="AU33" s="1677">
        <f t="shared" si="8"/>
        <v>104.92081330462295</v>
      </c>
      <c r="AV33" s="1809">
        <f t="shared" si="9"/>
        <v>0</v>
      </c>
      <c r="AW33" s="1678">
        <f t="shared" si="10"/>
        <v>104.92081330462295</v>
      </c>
      <c r="AX33" s="956"/>
      <c r="AY33" s="1674" t="str">
        <f t="shared" si="11"/>
        <v>25-50km</v>
      </c>
      <c r="AZ33" s="1809">
        <f t="shared" si="12"/>
        <v>0</v>
      </c>
      <c r="BA33" s="1810">
        <f t="shared" si="13"/>
        <v>0</v>
      </c>
      <c r="BB33" s="1811">
        <f t="shared" si="14"/>
        <v>0</v>
      </c>
      <c r="BC33" s="956"/>
      <c r="BD33" s="1674" t="str">
        <f t="shared" si="15"/>
        <v>25-50km</v>
      </c>
      <c r="BE33" s="1675">
        <f t="shared" si="15"/>
        <v>104.92081330462295</v>
      </c>
      <c r="BF33" s="1676">
        <f t="shared" si="16"/>
        <v>104.92081330462295</v>
      </c>
      <c r="BG33" s="1677">
        <f t="shared" si="17"/>
        <v>104.92081330462295</v>
      </c>
      <c r="BH33" s="1676">
        <f t="shared" si="20"/>
        <v>104.92081330462295</v>
      </c>
      <c r="BI33" s="1678">
        <f t="shared" si="18"/>
        <v>104.92081330462295</v>
      </c>
      <c r="BJ33" s="956"/>
      <c r="BK33" s="1812" t="str">
        <f>AY40</f>
        <v>Sea</v>
      </c>
      <c r="BL33" s="1839">
        <f>AZ40</f>
        <v>8.999999999999897E-3</v>
      </c>
      <c r="BM33" s="1840">
        <f>BA40</f>
        <v>8.999999999999897E-3</v>
      </c>
      <c r="BN33" s="1841">
        <f>BB40</f>
        <v>4.4999999999999485E-3</v>
      </c>
      <c r="BO33" s="956"/>
      <c r="BP33" s="956"/>
      <c r="BQ33" s="956"/>
      <c r="BR33" s="956"/>
      <c r="BS33" s="956"/>
      <c r="BT33" s="956"/>
      <c r="BU33" s="956"/>
      <c r="BV33" s="956"/>
      <c r="BW33" s="956"/>
      <c r="BX33" s="956"/>
      <c r="BY33" s="956"/>
      <c r="BZ33" s="956"/>
      <c r="CA33" s="956"/>
      <c r="CB33" s="956"/>
      <c r="CC33" s="956"/>
      <c r="CD33" s="956"/>
      <c r="CE33" s="956"/>
      <c r="CF33" s="956"/>
      <c r="CG33" s="956"/>
      <c r="CH33" s="956"/>
      <c r="CI33" s="956"/>
      <c r="CJ33" s="956"/>
      <c r="CK33" s="956"/>
      <c r="CL33" s="956"/>
      <c r="CM33" s="956"/>
      <c r="CN33" s="956"/>
      <c r="CO33" s="956"/>
      <c r="CP33" s="956"/>
      <c r="CQ33" s="956"/>
      <c r="CR33" s="956"/>
      <c r="CS33" s="956"/>
      <c r="CT33" s="956"/>
      <c r="CU33" s="956"/>
      <c r="CV33" s="956"/>
      <c r="CW33" s="956"/>
      <c r="CX33" s="956"/>
      <c r="CY33" s="956"/>
      <c r="CZ33" s="956"/>
    </row>
    <row r="34" spans="1:104" ht="16.5" thickBot="1" x14ac:dyDescent="0.3">
      <c r="A34" s="69"/>
      <c r="B34" s="119" t="s">
        <v>30</v>
      </c>
      <c r="C34" s="82">
        <v>0</v>
      </c>
      <c r="D34" s="13">
        <f t="shared" si="1"/>
        <v>1</v>
      </c>
      <c r="E34" s="114">
        <v>25.33691466798944</v>
      </c>
      <c r="F34" s="115">
        <f>'Scenarios technology'!D185-E34</f>
        <v>0</v>
      </c>
      <c r="G34" s="82">
        <v>0</v>
      </c>
      <c r="H34" s="13">
        <f t="shared" si="2"/>
        <v>1</v>
      </c>
      <c r="I34" s="114">
        <v>25.33691466798944</v>
      </c>
      <c r="J34" s="115">
        <f>'Scenarios technology'!D325-I34</f>
        <v>0</v>
      </c>
      <c r="K34" s="82">
        <f>G34/2</f>
        <v>0</v>
      </c>
      <c r="L34" s="13">
        <f t="shared" si="3"/>
        <v>1</v>
      </c>
      <c r="M34" s="114">
        <v>25.33691466798944</v>
      </c>
      <c r="N34" s="115">
        <f>'Scenarios technology'!D465-M34</f>
        <v>0</v>
      </c>
      <c r="O34" s="22">
        <f t="shared" si="4"/>
        <v>0</v>
      </c>
      <c r="P34" s="73"/>
      <c r="Q34" s="7"/>
      <c r="R34" s="7"/>
      <c r="S34" s="73"/>
      <c r="T34" s="73"/>
      <c r="W34" s="70"/>
      <c r="X34" s="70"/>
      <c r="Y34" s="70"/>
      <c r="Z34" s="70"/>
      <c r="AA34" s="70"/>
      <c r="AB34" s="70"/>
      <c r="AC34" s="70"/>
      <c r="AD34" s="70"/>
      <c r="AE34" s="70"/>
      <c r="AF34" s="70"/>
      <c r="AG34" s="6"/>
      <c r="AH34" s="6"/>
      <c r="AI34" s="70"/>
      <c r="AJ34" s="70"/>
      <c r="AK34" s="70"/>
      <c r="AL34" s="70"/>
      <c r="AM34" s="70"/>
      <c r="AP34" s="1674" t="str">
        <f t="shared" si="0"/>
        <v>&gt;50 km</v>
      </c>
      <c r="AQ34" s="1661">
        <f>'Scenarios technology'!$D45</f>
        <v>25.33691466798944</v>
      </c>
      <c r="AR34" s="1827">
        <f t="shared" si="5"/>
        <v>0</v>
      </c>
      <c r="AS34" s="1828">
        <f t="shared" si="6"/>
        <v>25.33691466798944</v>
      </c>
      <c r="AT34" s="1829">
        <f t="shared" si="7"/>
        <v>0</v>
      </c>
      <c r="AU34" s="1711">
        <f t="shared" si="8"/>
        <v>25.33691466798944</v>
      </c>
      <c r="AV34" s="1827">
        <f t="shared" si="9"/>
        <v>0</v>
      </c>
      <c r="AW34" s="1712">
        <f t="shared" si="10"/>
        <v>25.33691466798944</v>
      </c>
      <c r="AX34" s="956"/>
      <c r="AY34" s="1674" t="str">
        <f t="shared" si="11"/>
        <v>&gt;50 km</v>
      </c>
      <c r="AZ34" s="1827">
        <f t="shared" si="12"/>
        <v>0</v>
      </c>
      <c r="BA34" s="1829">
        <f t="shared" si="13"/>
        <v>0</v>
      </c>
      <c r="BB34" s="1830">
        <f t="shared" si="14"/>
        <v>0</v>
      </c>
      <c r="BC34" s="956"/>
      <c r="BD34" s="1674" t="str">
        <f t="shared" si="15"/>
        <v>&gt;50 km</v>
      </c>
      <c r="BE34" s="1675">
        <f t="shared" si="15"/>
        <v>25.33691466798944</v>
      </c>
      <c r="BF34" s="1710">
        <f t="shared" si="16"/>
        <v>25.33691466798944</v>
      </c>
      <c r="BG34" s="1711">
        <f t="shared" si="17"/>
        <v>25.33691466798944</v>
      </c>
      <c r="BH34" s="1710">
        <f t="shared" si="20"/>
        <v>25.33691466798944</v>
      </c>
      <c r="BI34" s="1712">
        <f t="shared" si="18"/>
        <v>25.33691466798944</v>
      </c>
      <c r="BJ34" s="956"/>
      <c r="BK34" s="1816" t="str">
        <f>AY43</f>
        <v>Total</v>
      </c>
      <c r="BL34" s="1842">
        <f>AZ43</f>
        <v>1.9859052221188778E-2</v>
      </c>
      <c r="BM34" s="1843">
        <f>BA43</f>
        <v>2.0446986224406771E-2</v>
      </c>
      <c r="BN34" s="1844">
        <f>BB43</f>
        <v>1.0219764716966617E-2</v>
      </c>
      <c r="BO34" s="956"/>
      <c r="BP34" s="956"/>
      <c r="BQ34" s="956"/>
      <c r="BR34" s="956"/>
      <c r="BS34" s="956"/>
      <c r="BT34" s="956"/>
      <c r="BU34" s="956"/>
      <c r="BV34" s="956"/>
      <c r="BW34" s="956"/>
      <c r="BX34" s="956"/>
      <c r="BY34" s="956"/>
      <c r="BZ34" s="956"/>
      <c r="CA34" s="956"/>
      <c r="CB34" s="956"/>
      <c r="CC34" s="956"/>
      <c r="CD34" s="956"/>
      <c r="CE34" s="956"/>
      <c r="CF34" s="956"/>
      <c r="CG34" s="956"/>
      <c r="CH34" s="956"/>
      <c r="CI34" s="956"/>
      <c r="CJ34" s="956"/>
      <c r="CK34" s="956"/>
      <c r="CL34" s="956"/>
      <c r="CM34" s="956"/>
      <c r="CN34" s="956"/>
      <c r="CO34" s="956"/>
      <c r="CP34" s="956"/>
      <c r="CQ34" s="956"/>
      <c r="CR34" s="956"/>
      <c r="CS34" s="956"/>
      <c r="CT34" s="956"/>
      <c r="CU34" s="956"/>
      <c r="CV34" s="956"/>
      <c r="CW34" s="956"/>
      <c r="CX34" s="956"/>
      <c r="CY34" s="956"/>
      <c r="CZ34" s="956"/>
    </row>
    <row r="35" spans="1:104" ht="16.5" thickBot="1" x14ac:dyDescent="0.3">
      <c r="A35" s="15"/>
      <c r="B35" s="129" t="s">
        <v>107</v>
      </c>
      <c r="C35" s="91">
        <f>('Scenarios technology'!D186/'Scenarios technology'!D46)^(1/10)-1</f>
        <v>3.2000000000000028E-2</v>
      </c>
      <c r="D35" s="110">
        <f t="shared" si="1"/>
        <v>1.3702410463356465</v>
      </c>
      <c r="E35" s="945">
        <v>23081.162329105435</v>
      </c>
      <c r="F35" s="112">
        <f>'Scenarios technology'!D186-E35</f>
        <v>0</v>
      </c>
      <c r="G35" s="109">
        <f>('Scenarios technology'!D326/'Scenarios technology'!D186)^(1/10)-1</f>
        <v>2.8999999999999915E-2</v>
      </c>
      <c r="H35" s="110">
        <f t="shared" si="2"/>
        <v>1.3309255048250868</v>
      </c>
      <c r="I35" s="949">
        <v>30719.307624814424</v>
      </c>
      <c r="J35" s="112">
        <f>'Scenarios technology'!D326-I35</f>
        <v>0</v>
      </c>
      <c r="K35" s="109">
        <f>('Scenarios technology'!D466/'Scenarios technology'!D326)^(1/20)-1</f>
        <v>1.4499999999999957E-2</v>
      </c>
      <c r="L35" s="110">
        <f t="shared" si="3"/>
        <v>1.3336474146173263</v>
      </c>
      <c r="M35" s="953">
        <v>40968.725192668076</v>
      </c>
      <c r="N35" s="112">
        <f>'Scenarios technology'!D466-M35</f>
        <v>0</v>
      </c>
      <c r="O35" s="113">
        <f t="shared" si="4"/>
        <v>1.4321577949412907</v>
      </c>
      <c r="Q35" s="18" t="s">
        <v>139</v>
      </c>
      <c r="R35" s="37">
        <v>2010</v>
      </c>
      <c r="S35" s="37">
        <v>2020</v>
      </c>
      <c r="T35" s="37">
        <v>2030</v>
      </c>
      <c r="U35" s="38">
        <v>2050</v>
      </c>
      <c r="W35" s="70"/>
      <c r="X35" s="70"/>
      <c r="Y35" s="70"/>
      <c r="Z35" s="70"/>
      <c r="AA35" s="70"/>
      <c r="AB35" s="70"/>
      <c r="AC35" s="70"/>
      <c r="AD35" s="70"/>
      <c r="AE35" s="70"/>
      <c r="AF35" s="70"/>
      <c r="AG35" s="6"/>
      <c r="AH35" s="6"/>
      <c r="AI35" s="70"/>
      <c r="AJ35" s="70"/>
      <c r="AK35" s="70"/>
      <c r="AL35" s="70"/>
      <c r="AM35" s="70"/>
      <c r="AP35" s="1695" t="str">
        <f t="shared" si="0"/>
        <v>Air</v>
      </c>
      <c r="AQ35" s="1696">
        <f>'Scenarios technology'!$D46</f>
        <v>16844.599999999999</v>
      </c>
      <c r="AR35" s="1823">
        <f t="shared" si="5"/>
        <v>3.2000000000000028E-2</v>
      </c>
      <c r="AS35" s="1824">
        <f t="shared" si="6"/>
        <v>23081.162329105435</v>
      </c>
      <c r="AT35" s="1825">
        <f t="shared" si="7"/>
        <v>2.8999999999999915E-2</v>
      </c>
      <c r="AU35" s="1698">
        <f t="shared" si="8"/>
        <v>30719.307624814424</v>
      </c>
      <c r="AV35" s="1823">
        <f t="shared" si="9"/>
        <v>1.4499999999999957E-2</v>
      </c>
      <c r="AW35" s="1699">
        <f t="shared" si="10"/>
        <v>40968.725192668076</v>
      </c>
      <c r="AX35" s="956"/>
      <c r="AY35" s="1695" t="str">
        <f t="shared" si="11"/>
        <v>Air</v>
      </c>
      <c r="AZ35" s="1823">
        <f t="shared" si="12"/>
        <v>3.2000000000000028E-2</v>
      </c>
      <c r="BA35" s="1825">
        <f t="shared" si="13"/>
        <v>2.8999999999999915E-2</v>
      </c>
      <c r="BB35" s="1826">
        <f t="shared" si="14"/>
        <v>1.4499999999999957E-2</v>
      </c>
      <c r="BC35" s="956"/>
      <c r="BD35" s="1695" t="str">
        <f t="shared" si="15"/>
        <v>Air</v>
      </c>
      <c r="BE35" s="1696">
        <f t="shared" si="15"/>
        <v>16844.599999999999</v>
      </c>
      <c r="BF35" s="1697">
        <f t="shared" si="16"/>
        <v>23081.162329105435</v>
      </c>
      <c r="BG35" s="1698">
        <f t="shared" si="17"/>
        <v>30719.307624814424</v>
      </c>
      <c r="BH35" s="1697">
        <f t="shared" si="20"/>
        <v>35844.016408741249</v>
      </c>
      <c r="BI35" s="1699">
        <f t="shared" si="18"/>
        <v>40968.725192668076</v>
      </c>
      <c r="BJ35" s="956"/>
      <c r="BK35" s="956"/>
      <c r="BL35" s="956"/>
      <c r="BM35" s="956"/>
      <c r="BN35" s="956"/>
      <c r="BO35" s="956"/>
      <c r="BP35" s="956"/>
      <c r="BQ35" s="956"/>
      <c r="BR35" s="956"/>
      <c r="BS35" s="956"/>
      <c r="BT35" s="956"/>
      <c r="BU35" s="956"/>
      <c r="BV35" s="956"/>
      <c r="BW35" s="956"/>
      <c r="BX35" s="956"/>
      <c r="BY35" s="956"/>
      <c r="BZ35" s="956"/>
      <c r="CA35" s="956"/>
      <c r="CB35" s="956"/>
      <c r="CC35" s="956"/>
      <c r="CD35" s="956"/>
      <c r="CE35" s="956"/>
      <c r="CF35" s="956"/>
      <c r="CG35" s="956"/>
      <c r="CH35" s="956"/>
      <c r="CI35" s="956"/>
      <c r="CJ35" s="956"/>
      <c r="CK35" s="956"/>
      <c r="CL35" s="956"/>
      <c r="CM35" s="956"/>
      <c r="CN35" s="956"/>
      <c r="CO35" s="956"/>
      <c r="CP35" s="956"/>
      <c r="CQ35" s="956"/>
      <c r="CR35" s="956"/>
      <c r="CS35" s="956"/>
      <c r="CT35" s="956"/>
      <c r="CU35" s="956"/>
      <c r="CV35" s="956"/>
      <c r="CW35" s="956"/>
      <c r="CX35" s="956"/>
      <c r="CY35" s="956"/>
      <c r="CZ35" s="956"/>
    </row>
    <row r="36" spans="1:104" ht="16.5" thickBot="1" x14ac:dyDescent="0.3">
      <c r="A36" s="69"/>
      <c r="B36" s="118" t="s">
        <v>10</v>
      </c>
      <c r="C36" s="1583">
        <v>3.2000000000000001E-2</v>
      </c>
      <c r="D36" s="6">
        <f t="shared" si="1"/>
        <v>1.3702410463356465</v>
      </c>
      <c r="E36" s="944">
        <v>644.01329177775381</v>
      </c>
      <c r="F36" s="102">
        <f>'Scenarios technology'!D187-E36</f>
        <v>0</v>
      </c>
      <c r="G36" s="1583">
        <v>2.9000000000000001E-2</v>
      </c>
      <c r="H36" s="6">
        <f t="shared" si="2"/>
        <v>1.3309255048250868</v>
      </c>
      <c r="I36" s="948">
        <v>857.13371547337283</v>
      </c>
      <c r="J36" s="102">
        <f>'Scenarios technology'!D327-I36</f>
        <v>0</v>
      </c>
      <c r="K36" s="1583">
        <f>G36/2</f>
        <v>1.4500000000000001E-2</v>
      </c>
      <c r="L36" s="6">
        <f t="shared" si="3"/>
        <v>1.3336474146173263</v>
      </c>
      <c r="M36" s="952">
        <v>1143.1141636224065</v>
      </c>
      <c r="N36" s="102">
        <f>'Scenarios technology'!D467-M36</f>
        <v>0</v>
      </c>
      <c r="O36" s="12">
        <f t="shared" si="4"/>
        <v>1.4321577949412907</v>
      </c>
      <c r="Q36" s="3" t="s">
        <v>140</v>
      </c>
      <c r="R36" s="157">
        <f>'Scenarios technology'!D6</f>
        <v>51784.948215000004</v>
      </c>
      <c r="S36" s="9">
        <f>'Scenarios technology'!D146</f>
        <v>64428.817973931888</v>
      </c>
      <c r="T36" s="9">
        <f>'Scenarios technology'!D286</f>
        <v>79911.906492251175</v>
      </c>
      <c r="U36" s="17">
        <f>'Scenarios technology'!D426</f>
        <v>99080.363550342168</v>
      </c>
      <c r="V36" s="70"/>
      <c r="W36" s="70"/>
      <c r="X36" s="70"/>
      <c r="Y36" s="70"/>
      <c r="Z36" s="70"/>
      <c r="AA36" s="70"/>
      <c r="AB36" s="70"/>
      <c r="AC36" s="70"/>
      <c r="AD36" s="70"/>
      <c r="AE36" s="70"/>
      <c r="AF36" s="70"/>
      <c r="AG36" s="6"/>
      <c r="AH36" s="6"/>
      <c r="AI36" s="70"/>
      <c r="AJ36" s="70"/>
      <c r="AK36" s="70"/>
      <c r="AL36" s="70"/>
      <c r="AM36" s="70"/>
      <c r="AP36" s="1674" t="str">
        <f t="shared" si="0"/>
        <v>National air</v>
      </c>
      <c r="AQ36" s="1696">
        <f>'Scenarios technology'!$D47</f>
        <v>470</v>
      </c>
      <c r="AR36" s="1809">
        <f t="shared" si="5"/>
        <v>3.2000000000000001E-2</v>
      </c>
      <c r="AS36" s="1808">
        <f t="shared" si="6"/>
        <v>644.01329177775381</v>
      </c>
      <c r="AT36" s="1810">
        <f t="shared" si="7"/>
        <v>2.9000000000000001E-2</v>
      </c>
      <c r="AU36" s="1677">
        <f t="shared" si="8"/>
        <v>857.13371547337283</v>
      </c>
      <c r="AV36" s="1809">
        <f t="shared" si="9"/>
        <v>1.4500000000000001E-2</v>
      </c>
      <c r="AW36" s="1678">
        <f t="shared" si="10"/>
        <v>1143.1141636224065</v>
      </c>
      <c r="AX36" s="956"/>
      <c r="AY36" s="1674" t="str">
        <f t="shared" si="11"/>
        <v>National air</v>
      </c>
      <c r="AZ36" s="1809">
        <f t="shared" si="12"/>
        <v>3.2000000000000001E-2</v>
      </c>
      <c r="BA36" s="1810">
        <f t="shared" si="13"/>
        <v>2.9000000000000001E-2</v>
      </c>
      <c r="BB36" s="1811">
        <f t="shared" si="14"/>
        <v>1.4500000000000001E-2</v>
      </c>
      <c r="BC36" s="956"/>
      <c r="BD36" s="1674" t="str">
        <f t="shared" si="15"/>
        <v>National air</v>
      </c>
      <c r="BE36" s="1675">
        <f t="shared" si="15"/>
        <v>470</v>
      </c>
      <c r="BF36" s="1676">
        <f t="shared" si="16"/>
        <v>644.01329177775381</v>
      </c>
      <c r="BG36" s="1677">
        <f t="shared" si="17"/>
        <v>857.13371547337283</v>
      </c>
      <c r="BH36" s="1676">
        <f t="shared" si="20"/>
        <v>1000.1239395478897</v>
      </c>
      <c r="BI36" s="1678">
        <f t="shared" si="18"/>
        <v>1143.1141636224065</v>
      </c>
      <c r="BJ36" s="956"/>
      <c r="BK36" s="956"/>
      <c r="BL36" s="956"/>
      <c r="BM36" s="956"/>
      <c r="BN36" s="956"/>
      <c r="BO36" s="956"/>
      <c r="BP36" s="956"/>
      <c r="BQ36" s="956"/>
      <c r="BR36" s="956"/>
      <c r="BS36" s="956"/>
      <c r="BT36" s="956"/>
      <c r="BU36" s="956"/>
      <c r="BV36" s="956"/>
      <c r="BW36" s="956"/>
      <c r="BX36" s="956"/>
      <c r="BY36" s="956"/>
      <c r="BZ36" s="956"/>
      <c r="CA36" s="956"/>
      <c r="CB36" s="956"/>
      <c r="CC36" s="956"/>
      <c r="CD36" s="956"/>
      <c r="CE36" s="956"/>
      <c r="CF36" s="956"/>
      <c r="CG36" s="956"/>
      <c r="CH36" s="956"/>
      <c r="CI36" s="956"/>
      <c r="CJ36" s="956"/>
      <c r="CK36" s="956"/>
      <c r="CL36" s="956"/>
      <c r="CM36" s="956"/>
      <c r="CN36" s="956"/>
      <c r="CO36" s="956"/>
      <c r="CP36" s="956"/>
      <c r="CQ36" s="956"/>
      <c r="CR36" s="956"/>
      <c r="CS36" s="956"/>
      <c r="CT36" s="956"/>
      <c r="CU36" s="956"/>
      <c r="CV36" s="956"/>
      <c r="CW36" s="956"/>
      <c r="CX36" s="956"/>
      <c r="CY36" s="956"/>
      <c r="CZ36" s="956"/>
    </row>
    <row r="37" spans="1:104" ht="16.5" thickBot="1" x14ac:dyDescent="0.3">
      <c r="A37" s="69"/>
      <c r="B37" s="118" t="s">
        <v>11</v>
      </c>
      <c r="C37" s="91">
        <f>('Scenarios technology'!D188/'Scenarios technology'!D48)^(1/10)-1</f>
        <v>3.2000000000000028E-2</v>
      </c>
      <c r="D37" s="92">
        <f t="shared" si="1"/>
        <v>1.3702410463356465</v>
      </c>
      <c r="E37" s="944">
        <v>22437.149037327679</v>
      </c>
      <c r="F37" s="103">
        <f>'Scenarios technology'!D188-E37</f>
        <v>0</v>
      </c>
      <c r="G37" s="91">
        <f>('Scenarios technology'!D328/'Scenarios technology'!D188)^(1/10)-1</f>
        <v>2.8999999999999915E-2</v>
      </c>
      <c r="H37" s="92">
        <f t="shared" si="2"/>
        <v>1.3309255048250868</v>
      </c>
      <c r="I37" s="948">
        <v>29862.173909341051</v>
      </c>
      <c r="J37" s="103">
        <f>'Scenarios technology'!D328-I37</f>
        <v>0</v>
      </c>
      <c r="K37" s="91">
        <f>('Scenarios technology'!D468/'Scenarios technology'!D328)^(1/20)-1</f>
        <v>1.4499999999999957E-2</v>
      </c>
      <c r="L37" s="92">
        <f t="shared" si="3"/>
        <v>1.3336474146173263</v>
      </c>
      <c r="M37" s="952">
        <v>39825.611029045671</v>
      </c>
      <c r="N37" s="103">
        <f>'Scenarios technology'!D468-M37</f>
        <v>0</v>
      </c>
      <c r="O37" s="93">
        <f t="shared" si="4"/>
        <v>1.4321577949412907</v>
      </c>
      <c r="Q37" s="3" t="s">
        <v>141</v>
      </c>
      <c r="R37" s="157">
        <f>'Scenarios technology'!D24+'Scenarios technology'!D30+'Scenarios technology'!D51</f>
        <v>17307.625</v>
      </c>
      <c r="S37" s="9">
        <f>'Scenarios technology'!D164+'Scenarios technology'!D170+'Scenarios technology'!D191</f>
        <v>17808.507927634681</v>
      </c>
      <c r="T37" s="9">
        <f>'Scenarios technology'!D304+'Scenarios technology'!D310+'Scenarios technology'!D331</f>
        <v>19043.824918853901</v>
      </c>
      <c r="U37" s="17">
        <f>'Scenarios technology'!D444+'Scenarios technology'!D450+'Scenarios technology'!D471</f>
        <v>19601.560519252773</v>
      </c>
      <c r="V37" s="70"/>
      <c r="W37" s="70"/>
      <c r="X37" s="70"/>
      <c r="Y37" s="70"/>
      <c r="Z37" s="70"/>
      <c r="AA37" s="70"/>
      <c r="AB37" s="70"/>
      <c r="AC37" s="70"/>
      <c r="AD37" s="70"/>
      <c r="AE37" s="70"/>
      <c r="AF37" s="70"/>
      <c r="AG37" s="6"/>
      <c r="AH37" s="6"/>
      <c r="AI37" s="70"/>
      <c r="AJ37" s="70"/>
      <c r="AK37" s="70"/>
      <c r="AL37" s="70"/>
      <c r="AM37" s="70"/>
      <c r="AP37" s="1674" t="str">
        <f t="shared" si="0"/>
        <v>International air</v>
      </c>
      <c r="AQ37" s="1696">
        <f>'Scenarios technology'!$D48</f>
        <v>16374.6</v>
      </c>
      <c r="AR37" s="1845">
        <f t="shared" si="5"/>
        <v>3.2000000000000028E-2</v>
      </c>
      <c r="AS37" s="1808">
        <f t="shared" si="6"/>
        <v>22437.149037327679</v>
      </c>
      <c r="AT37" s="1846">
        <f t="shared" si="7"/>
        <v>2.8999999999999915E-2</v>
      </c>
      <c r="AU37" s="1677">
        <f t="shared" si="8"/>
        <v>29862.173909341051</v>
      </c>
      <c r="AV37" s="1845">
        <f t="shared" si="9"/>
        <v>1.4499999999999957E-2</v>
      </c>
      <c r="AW37" s="1678">
        <f t="shared" si="10"/>
        <v>39825.611029045671</v>
      </c>
      <c r="AX37" s="956"/>
      <c r="AY37" s="1674" t="str">
        <f t="shared" si="11"/>
        <v>International air</v>
      </c>
      <c r="AZ37" s="1845">
        <f t="shared" si="12"/>
        <v>3.2000000000000028E-2</v>
      </c>
      <c r="BA37" s="1846">
        <f t="shared" si="13"/>
        <v>2.8999999999999915E-2</v>
      </c>
      <c r="BB37" s="1847">
        <f t="shared" si="14"/>
        <v>1.4499999999999957E-2</v>
      </c>
      <c r="BC37" s="956"/>
      <c r="BD37" s="1674" t="str">
        <f t="shared" si="15"/>
        <v>International air</v>
      </c>
      <c r="BE37" s="1675">
        <f t="shared" si="15"/>
        <v>16374.6</v>
      </c>
      <c r="BF37" s="1676">
        <f t="shared" si="16"/>
        <v>22437.149037327679</v>
      </c>
      <c r="BG37" s="1677">
        <f t="shared" si="17"/>
        <v>29862.173909341051</v>
      </c>
      <c r="BH37" s="1676">
        <f t="shared" si="20"/>
        <v>34843.892469193364</v>
      </c>
      <c r="BI37" s="1678">
        <f t="shared" si="18"/>
        <v>39825.611029045671</v>
      </c>
      <c r="BJ37" s="956"/>
      <c r="BK37" s="956"/>
      <c r="BL37" s="956"/>
      <c r="BM37" s="956"/>
      <c r="BN37" s="956"/>
      <c r="BO37" s="956"/>
      <c r="BP37" s="956"/>
      <c r="BQ37" s="956"/>
      <c r="BR37" s="956"/>
      <c r="BS37" s="956"/>
      <c r="BT37" s="956"/>
      <c r="BU37" s="956"/>
      <c r="BV37" s="956"/>
      <c r="BW37" s="956"/>
      <c r="BX37" s="956"/>
      <c r="BY37" s="956"/>
      <c r="BZ37" s="956"/>
      <c r="CA37" s="956"/>
      <c r="CB37" s="956"/>
      <c r="CC37" s="956"/>
      <c r="CD37" s="956"/>
      <c r="CE37" s="956"/>
      <c r="CF37" s="956"/>
      <c r="CG37" s="956"/>
      <c r="CH37" s="956"/>
      <c r="CI37" s="956"/>
      <c r="CJ37" s="956"/>
      <c r="CK37" s="956"/>
      <c r="CL37" s="956"/>
      <c r="CM37" s="956"/>
      <c r="CN37" s="956"/>
      <c r="CO37" s="956"/>
      <c r="CP37" s="956"/>
      <c r="CQ37" s="956"/>
      <c r="CR37" s="956"/>
      <c r="CS37" s="956"/>
      <c r="CT37" s="956"/>
      <c r="CU37" s="956"/>
      <c r="CV37" s="956"/>
      <c r="CW37" s="956"/>
      <c r="CX37" s="956"/>
      <c r="CY37" s="956"/>
      <c r="CZ37" s="956"/>
    </row>
    <row r="38" spans="1:104" ht="15.75" x14ac:dyDescent="0.25">
      <c r="A38" s="69"/>
      <c r="B38" s="119" t="s">
        <v>37</v>
      </c>
      <c r="C38" s="80">
        <v>3.2000000000000001E-2</v>
      </c>
      <c r="D38" s="6">
        <f t="shared" si="1"/>
        <v>1.3702410463356465</v>
      </c>
      <c r="E38" s="944">
        <v>5609.2872593319189</v>
      </c>
      <c r="F38" s="102">
        <f>'Scenarios technology'!D189-E38</f>
        <v>0</v>
      </c>
      <c r="G38" s="80">
        <v>2.9000000000000001E-2</v>
      </c>
      <c r="H38" s="6">
        <f t="shared" si="2"/>
        <v>1.3309255048250868</v>
      </c>
      <c r="I38" s="948">
        <v>7465.5434773352617</v>
      </c>
      <c r="J38" s="102">
        <f>'Scenarios technology'!D329-I38</f>
        <v>0</v>
      </c>
      <c r="K38" s="80">
        <f>G38/2</f>
        <v>1.4500000000000001E-2</v>
      </c>
      <c r="L38" s="6">
        <f t="shared" si="3"/>
        <v>1.3336474146173263</v>
      </c>
      <c r="M38" s="952">
        <v>9956.4027572614159</v>
      </c>
      <c r="N38" s="102">
        <f>'Scenarios technology'!D469-M38</f>
        <v>0</v>
      </c>
      <c r="O38" s="12">
        <f t="shared" si="4"/>
        <v>1.4321577949412907</v>
      </c>
      <c r="Q38" s="3" t="s">
        <v>135</v>
      </c>
      <c r="R38" s="157">
        <f>'Scenarios technology'!D41</f>
        <v>3248.3223933319796</v>
      </c>
      <c r="S38" s="9">
        <f>'Scenarios technology'!D181</f>
        <v>3247.9975610926463</v>
      </c>
      <c r="T38" s="9">
        <f>'Scenarios technology'!D321</f>
        <v>3247.9975610926463</v>
      </c>
      <c r="U38" s="17">
        <f>'Scenarios technology'!D461</f>
        <v>3247.9975610926463</v>
      </c>
      <c r="V38" s="70"/>
      <c r="W38" s="70"/>
      <c r="X38" s="70"/>
      <c r="Y38" s="70"/>
      <c r="Z38" s="70"/>
      <c r="AA38" s="70"/>
      <c r="AB38" s="70"/>
      <c r="AC38" s="70"/>
      <c r="AD38" s="70"/>
      <c r="AE38" s="70"/>
      <c r="AF38" s="70"/>
      <c r="AG38" s="6"/>
      <c r="AH38" s="6"/>
      <c r="AI38" s="70"/>
      <c r="AJ38" s="70"/>
      <c r="AK38" s="70"/>
      <c r="AL38" s="70"/>
      <c r="AM38" s="70"/>
      <c r="AP38" s="1674" t="str">
        <f t="shared" si="0"/>
        <v>International air (1-1000km)</v>
      </c>
      <c r="AQ38" s="1696">
        <f>'Scenarios technology'!$D49</f>
        <v>4093.65</v>
      </c>
      <c r="AR38" s="1809">
        <f t="shared" si="5"/>
        <v>3.2000000000000001E-2</v>
      </c>
      <c r="AS38" s="1808">
        <f t="shared" si="6"/>
        <v>5609.2872593319189</v>
      </c>
      <c r="AT38" s="1810">
        <f t="shared" si="7"/>
        <v>2.9000000000000001E-2</v>
      </c>
      <c r="AU38" s="1677">
        <f t="shared" si="8"/>
        <v>7465.5434773352617</v>
      </c>
      <c r="AV38" s="1809">
        <f t="shared" si="9"/>
        <v>1.4500000000000001E-2</v>
      </c>
      <c r="AW38" s="1678">
        <f t="shared" si="10"/>
        <v>9956.4027572614159</v>
      </c>
      <c r="AX38" s="956"/>
      <c r="AY38" s="1674" t="str">
        <f t="shared" si="11"/>
        <v>International air (1-1000km)</v>
      </c>
      <c r="AZ38" s="1809">
        <f t="shared" si="12"/>
        <v>3.2000000000000001E-2</v>
      </c>
      <c r="BA38" s="1810">
        <f t="shared" si="13"/>
        <v>2.9000000000000001E-2</v>
      </c>
      <c r="BB38" s="1811">
        <f t="shared" si="14"/>
        <v>1.4500000000000001E-2</v>
      </c>
      <c r="BC38" s="956"/>
      <c r="BD38" s="1674" t="str">
        <f t="shared" si="15"/>
        <v>International air (1-1000km)</v>
      </c>
      <c r="BE38" s="1675">
        <f t="shared" si="15"/>
        <v>4093.65</v>
      </c>
      <c r="BF38" s="1676">
        <f t="shared" si="16"/>
        <v>5609.2872593319189</v>
      </c>
      <c r="BG38" s="1677">
        <f t="shared" si="17"/>
        <v>7465.5434773352617</v>
      </c>
      <c r="BH38" s="1676">
        <f t="shared" si="20"/>
        <v>8710.9731172983393</v>
      </c>
      <c r="BI38" s="1678">
        <f t="shared" si="18"/>
        <v>9956.4027572614159</v>
      </c>
      <c r="BJ38" s="956"/>
      <c r="BK38" s="956"/>
      <c r="BL38" s="956"/>
      <c r="BM38" s="956"/>
      <c r="BN38" s="956"/>
      <c r="BO38" s="956"/>
      <c r="BP38" s="956"/>
      <c r="BQ38" s="956"/>
      <c r="BR38" s="956"/>
      <c r="BS38" s="956"/>
      <c r="BT38" s="956"/>
      <c r="BU38" s="956"/>
      <c r="BV38" s="956"/>
      <c r="BW38" s="956"/>
      <c r="BX38" s="956"/>
      <c r="BY38" s="956"/>
      <c r="BZ38" s="956"/>
      <c r="CA38" s="956"/>
      <c r="CB38" s="956"/>
      <c r="CC38" s="956"/>
      <c r="CD38" s="956"/>
      <c r="CE38" s="956"/>
      <c r="CF38" s="956"/>
      <c r="CG38" s="956"/>
      <c r="CH38" s="956"/>
      <c r="CI38" s="956"/>
      <c r="CJ38" s="956"/>
      <c r="CK38" s="956"/>
      <c r="CL38" s="956"/>
      <c r="CM38" s="956"/>
      <c r="CN38" s="956"/>
      <c r="CO38" s="956"/>
      <c r="CP38" s="956"/>
      <c r="CQ38" s="956"/>
      <c r="CR38" s="956"/>
      <c r="CS38" s="956"/>
      <c r="CT38" s="956"/>
      <c r="CU38" s="956"/>
      <c r="CV38" s="956"/>
      <c r="CW38" s="956"/>
      <c r="CX38" s="956"/>
      <c r="CY38" s="956"/>
      <c r="CZ38" s="956"/>
    </row>
    <row r="39" spans="1:104" ht="16.5" thickBot="1" x14ac:dyDescent="0.3">
      <c r="A39" s="69"/>
      <c r="B39" s="119" t="s">
        <v>38</v>
      </c>
      <c r="C39" s="82">
        <v>3.2000000000000001E-2</v>
      </c>
      <c r="D39" s="13">
        <f t="shared" si="1"/>
        <v>1.3702410463356465</v>
      </c>
      <c r="E39" s="946">
        <v>16827.86177799576</v>
      </c>
      <c r="F39" s="115">
        <f>'Scenarios technology'!D190-E39</f>
        <v>0</v>
      </c>
      <c r="G39" s="82">
        <v>2.9000000000000001E-2</v>
      </c>
      <c r="H39" s="13">
        <f t="shared" si="2"/>
        <v>1.3309255048250868</v>
      </c>
      <c r="I39" s="950">
        <v>22396.63043200579</v>
      </c>
      <c r="J39" s="115">
        <f>'Scenarios technology'!D330-I39</f>
        <v>0</v>
      </c>
      <c r="K39" s="82">
        <f>G39/2</f>
        <v>1.4500000000000001E-2</v>
      </c>
      <c r="L39" s="13">
        <f t="shared" si="3"/>
        <v>1.3336474146173263</v>
      </c>
      <c r="M39" s="954">
        <v>29869.208271784253</v>
      </c>
      <c r="N39" s="115">
        <f>'Scenarios technology'!D470-M39</f>
        <v>0</v>
      </c>
      <c r="O39" s="22">
        <f t="shared" si="4"/>
        <v>1.4321577949412907</v>
      </c>
      <c r="Q39" s="11" t="s">
        <v>142</v>
      </c>
      <c r="R39" s="158">
        <f>'Scenarios technology'!D46</f>
        <v>16844.599999999999</v>
      </c>
      <c r="S39" s="159">
        <f>'Scenarios technology'!D186</f>
        <v>23081.162329105435</v>
      </c>
      <c r="T39" s="159">
        <f>'Scenarios technology'!D326</f>
        <v>30719.307624814424</v>
      </c>
      <c r="U39" s="160">
        <f>'Scenarios technology'!D466</f>
        <v>40968.725192668076</v>
      </c>
      <c r="V39" s="70"/>
      <c r="W39" s="70"/>
      <c r="X39" s="70"/>
      <c r="Y39" s="70"/>
      <c r="Z39" s="70"/>
      <c r="AA39" s="70"/>
      <c r="AB39" s="70"/>
      <c r="AC39" s="70"/>
      <c r="AD39" s="70"/>
      <c r="AE39" s="70"/>
      <c r="AF39" s="70"/>
      <c r="AG39" s="6"/>
      <c r="AH39" s="6"/>
      <c r="AI39" s="70"/>
      <c r="AJ39" s="70"/>
      <c r="AK39" s="70"/>
      <c r="AL39" s="70"/>
      <c r="AM39" s="70"/>
      <c r="AP39" s="1674" t="str">
        <f t="shared" si="0"/>
        <v>International air (&gt;1000km)</v>
      </c>
      <c r="AQ39" s="1696">
        <f>'Scenarios technology'!$D50</f>
        <v>12280.95</v>
      </c>
      <c r="AR39" s="1827">
        <f t="shared" si="5"/>
        <v>3.2000000000000001E-2</v>
      </c>
      <c r="AS39" s="1828">
        <f t="shared" si="6"/>
        <v>16827.86177799576</v>
      </c>
      <c r="AT39" s="1829">
        <f t="shared" si="7"/>
        <v>2.9000000000000001E-2</v>
      </c>
      <c r="AU39" s="1711">
        <f t="shared" si="8"/>
        <v>22396.63043200579</v>
      </c>
      <c r="AV39" s="1827">
        <f t="shared" si="9"/>
        <v>1.4500000000000001E-2</v>
      </c>
      <c r="AW39" s="1712">
        <f t="shared" si="10"/>
        <v>29869.208271784253</v>
      </c>
      <c r="AX39" s="956"/>
      <c r="AY39" s="1674" t="str">
        <f t="shared" si="11"/>
        <v>International air (&gt;1000km)</v>
      </c>
      <c r="AZ39" s="1827">
        <f t="shared" si="12"/>
        <v>3.2000000000000001E-2</v>
      </c>
      <c r="BA39" s="1829">
        <f t="shared" si="13"/>
        <v>2.9000000000000001E-2</v>
      </c>
      <c r="BB39" s="1830">
        <f t="shared" si="14"/>
        <v>1.4500000000000001E-2</v>
      </c>
      <c r="BC39" s="956"/>
      <c r="BD39" s="1674" t="str">
        <f t="shared" si="15"/>
        <v>International air (&gt;1000km)</v>
      </c>
      <c r="BE39" s="1675">
        <f t="shared" si="15"/>
        <v>12280.95</v>
      </c>
      <c r="BF39" s="1710">
        <f t="shared" si="16"/>
        <v>16827.86177799576</v>
      </c>
      <c r="BG39" s="1711">
        <f t="shared" si="17"/>
        <v>22396.63043200579</v>
      </c>
      <c r="BH39" s="1710">
        <f t="shared" si="20"/>
        <v>26132.91935189502</v>
      </c>
      <c r="BI39" s="1712">
        <f t="shared" si="18"/>
        <v>29869.208271784253</v>
      </c>
      <c r="BJ39" s="956"/>
      <c r="BK39" s="956"/>
      <c r="BL39" s="956"/>
      <c r="BM39" s="956"/>
      <c r="BN39" s="956"/>
      <c r="BO39" s="956"/>
      <c r="BP39" s="956"/>
      <c r="BQ39" s="956"/>
      <c r="BR39" s="956"/>
      <c r="BS39" s="956"/>
      <c r="BT39" s="956"/>
      <c r="BU39" s="956"/>
      <c r="BV39" s="956"/>
      <c r="BW39" s="956"/>
      <c r="BX39" s="956"/>
      <c r="BY39" s="956"/>
      <c r="BZ39" s="956"/>
      <c r="CA39" s="956"/>
      <c r="CB39" s="956"/>
      <c r="CC39" s="956"/>
      <c r="CD39" s="956"/>
      <c r="CE39" s="956"/>
      <c r="CF39" s="956"/>
      <c r="CG39" s="956"/>
      <c r="CH39" s="956"/>
      <c r="CI39" s="956"/>
      <c r="CJ39" s="956"/>
      <c r="CK39" s="956"/>
      <c r="CL39" s="956"/>
      <c r="CM39" s="956"/>
      <c r="CN39" s="956"/>
      <c r="CO39" s="956"/>
      <c r="CP39" s="956"/>
      <c r="CQ39" s="956"/>
      <c r="CR39" s="956"/>
      <c r="CS39" s="956"/>
      <c r="CT39" s="956"/>
      <c r="CU39" s="956"/>
      <c r="CV39" s="956"/>
      <c r="CW39" s="956"/>
      <c r="CX39" s="956"/>
      <c r="CY39" s="956"/>
      <c r="CZ39" s="956"/>
    </row>
    <row r="40" spans="1:104" ht="16.5" thickBot="1" x14ac:dyDescent="0.3">
      <c r="A40" s="15"/>
      <c r="B40" s="129" t="s">
        <v>77</v>
      </c>
      <c r="C40" s="91">
        <f>('Scenarios technology'!D191/'Scenarios technology'!D51)^(1/10)-1</f>
        <v>8.999999999999897E-3</v>
      </c>
      <c r="D40" s="110">
        <f t="shared" si="1"/>
        <v>1.0937338728025254</v>
      </c>
      <c r="E40" s="111">
        <v>1011.3757121804953</v>
      </c>
      <c r="F40" s="112">
        <f>'Scenarios technology'!D191-E40</f>
        <v>0</v>
      </c>
      <c r="G40" s="91">
        <f>('Scenarios technology'!D331/'Scenarios technology'!D191)^(1/10)-1</f>
        <v>8.999999999999897E-3</v>
      </c>
      <c r="H40" s="110">
        <f t="shared" si="2"/>
        <v>1.0937338728025254</v>
      </c>
      <c r="I40" s="111">
        <v>1106.1758745415855</v>
      </c>
      <c r="J40" s="112">
        <f>'Scenarios technology'!D331-I40</f>
        <v>0</v>
      </c>
      <c r="K40" s="91">
        <f>('Scenarios technology'!D471/'Scenarios technology'!D331)^(1/20)-1</f>
        <v>4.4999999999999485E-3</v>
      </c>
      <c r="L40" s="110">
        <f t="shared" si="3"/>
        <v>1.0939533981868226</v>
      </c>
      <c r="M40" s="111">
        <v>1210.1048569470477</v>
      </c>
      <c r="N40" s="112">
        <f>'Scenarios technology'!D471-M40</f>
        <v>0</v>
      </c>
      <c r="O40" s="113">
        <f t="shared" si="4"/>
        <v>0.30864589266469955</v>
      </c>
      <c r="P40" s="73"/>
      <c r="Q40" s="73"/>
      <c r="R40" s="70"/>
      <c r="S40" s="70"/>
      <c r="T40" s="70"/>
      <c r="V40" s="70"/>
      <c r="W40" s="70"/>
      <c r="X40" s="70"/>
      <c r="Y40" s="70"/>
      <c r="Z40" s="70"/>
      <c r="AA40" s="70"/>
      <c r="AB40" s="70"/>
      <c r="AC40" s="70"/>
      <c r="AD40" s="70"/>
      <c r="AE40" s="70"/>
      <c r="AF40" s="70"/>
      <c r="AG40" s="6"/>
      <c r="AH40" s="6"/>
      <c r="AI40" s="70"/>
      <c r="AJ40" s="70"/>
      <c r="AK40" s="70"/>
      <c r="AL40" s="70"/>
      <c r="AM40" s="70"/>
      <c r="AP40" s="1695" t="str">
        <f t="shared" si="0"/>
        <v>Sea</v>
      </c>
      <c r="AQ40" s="1696">
        <f>'Scenarios technology'!$D51</f>
        <v>924.7</v>
      </c>
      <c r="AR40" s="1823">
        <f t="shared" si="5"/>
        <v>8.999999999999897E-3</v>
      </c>
      <c r="AS40" s="1824">
        <f t="shared" si="6"/>
        <v>1011.3757121804953</v>
      </c>
      <c r="AT40" s="1825">
        <f t="shared" si="7"/>
        <v>8.999999999999897E-3</v>
      </c>
      <c r="AU40" s="1698">
        <f t="shared" si="8"/>
        <v>1106.1758745415855</v>
      </c>
      <c r="AV40" s="1823">
        <f t="shared" si="9"/>
        <v>4.4999999999999485E-3</v>
      </c>
      <c r="AW40" s="1699">
        <f t="shared" si="10"/>
        <v>1210.1048569470477</v>
      </c>
      <c r="AX40" s="956"/>
      <c r="AY40" s="1695" t="str">
        <f t="shared" si="11"/>
        <v>Sea</v>
      </c>
      <c r="AZ40" s="1823">
        <f t="shared" si="12"/>
        <v>8.999999999999897E-3</v>
      </c>
      <c r="BA40" s="1825">
        <f t="shared" si="13"/>
        <v>8.999999999999897E-3</v>
      </c>
      <c r="BB40" s="1826">
        <f t="shared" si="14"/>
        <v>4.4999999999999485E-3</v>
      </c>
      <c r="BC40" s="956"/>
      <c r="BD40" s="1695" t="str">
        <f t="shared" si="15"/>
        <v>Sea</v>
      </c>
      <c r="BE40" s="1696">
        <f t="shared" si="15"/>
        <v>924.7</v>
      </c>
      <c r="BF40" s="1697">
        <f t="shared" si="16"/>
        <v>1011.3757121804953</v>
      </c>
      <c r="BG40" s="1698">
        <f t="shared" si="17"/>
        <v>1106.1758745415855</v>
      </c>
      <c r="BH40" s="1697">
        <f t="shared" si="20"/>
        <v>1158.1403657443166</v>
      </c>
      <c r="BI40" s="1699">
        <f t="shared" si="18"/>
        <v>1210.1048569470477</v>
      </c>
      <c r="BJ40" s="956"/>
      <c r="BK40" s="956"/>
      <c r="BL40" s="956"/>
      <c r="BM40" s="956"/>
      <c r="BN40" s="956"/>
      <c r="BO40" s="956"/>
      <c r="BP40" s="956"/>
      <c r="BQ40" s="956"/>
      <c r="BR40" s="956"/>
      <c r="BS40" s="956"/>
      <c r="BT40" s="956"/>
      <c r="BU40" s="956"/>
      <c r="BV40" s="956"/>
      <c r="BW40" s="956"/>
      <c r="BX40" s="956"/>
      <c r="BY40" s="956"/>
      <c r="BZ40" s="956"/>
      <c r="CA40" s="956"/>
      <c r="CB40" s="956"/>
      <c r="CC40" s="956"/>
      <c r="CD40" s="956"/>
      <c r="CE40" s="956"/>
      <c r="CF40" s="956"/>
      <c r="CG40" s="956"/>
      <c r="CH40" s="956"/>
      <c r="CI40" s="956"/>
      <c r="CJ40" s="956"/>
      <c r="CK40" s="956"/>
      <c r="CL40" s="956"/>
      <c r="CM40" s="956"/>
      <c r="CN40" s="956"/>
      <c r="CO40" s="956"/>
      <c r="CP40" s="956"/>
      <c r="CQ40" s="956"/>
      <c r="CR40" s="956"/>
      <c r="CS40" s="956"/>
      <c r="CT40" s="956"/>
      <c r="CU40" s="956"/>
      <c r="CV40" s="956"/>
      <c r="CW40" s="956"/>
      <c r="CX40" s="956"/>
      <c r="CY40" s="956"/>
      <c r="CZ40" s="956"/>
    </row>
    <row r="41" spans="1:104" ht="15.75" x14ac:dyDescent="0.25">
      <c r="A41" s="89"/>
      <c r="B41" s="118" t="s">
        <v>12</v>
      </c>
      <c r="C41" s="104">
        <v>8.9999999999999993E-3</v>
      </c>
      <c r="D41" s="88">
        <f t="shared" si="1"/>
        <v>1.0937338728025254</v>
      </c>
      <c r="E41" s="97">
        <v>201.24703259566468</v>
      </c>
      <c r="F41" s="102">
        <f>'Scenarios technology'!D192-E41</f>
        <v>0</v>
      </c>
      <c r="G41" s="104">
        <v>8.9999999999999993E-3</v>
      </c>
      <c r="H41" s="88">
        <f t="shared" si="2"/>
        <v>1.0937338728025254</v>
      </c>
      <c r="I41" s="97">
        <v>220.11069635087239</v>
      </c>
      <c r="J41" s="102">
        <f>'Scenarios technology'!D332-I41</f>
        <v>0</v>
      </c>
      <c r="K41" s="104">
        <f>G41/2</f>
        <v>4.4999999999999997E-3</v>
      </c>
      <c r="L41" s="88">
        <f t="shared" si="3"/>
        <v>1.0939533981868226</v>
      </c>
      <c r="M41" s="97">
        <v>240.7908442503047</v>
      </c>
      <c r="N41" s="102">
        <f>'Scenarios technology'!D472-M41</f>
        <v>0</v>
      </c>
      <c r="O41" s="98">
        <f t="shared" si="4"/>
        <v>0.30864589266469955</v>
      </c>
      <c r="Q41" s="73"/>
      <c r="R41" s="70"/>
      <c r="S41" s="70"/>
      <c r="T41" s="70"/>
      <c r="U41" s="70"/>
      <c r="V41" s="6"/>
      <c r="W41" s="6"/>
      <c r="X41" s="6"/>
      <c r="Y41" s="6"/>
      <c r="Z41" s="6"/>
      <c r="AA41" s="6"/>
      <c r="AB41" s="6"/>
      <c r="AC41" s="6"/>
      <c r="AD41" s="6"/>
      <c r="AE41" s="6"/>
      <c r="AF41" s="6"/>
      <c r="AG41" s="6"/>
      <c r="AH41" s="6"/>
      <c r="AI41" s="70"/>
      <c r="AJ41" s="70"/>
      <c r="AK41" s="70"/>
      <c r="AL41" s="70"/>
      <c r="AM41" s="70"/>
      <c r="AP41" s="1674" t="str">
        <f t="shared" si="0"/>
        <v>National sea</v>
      </c>
      <c r="AQ41" s="1696">
        <f>'Scenarios technology'!$D52</f>
        <v>184</v>
      </c>
      <c r="AR41" s="1809">
        <f t="shared" si="5"/>
        <v>8.9999999999999993E-3</v>
      </c>
      <c r="AS41" s="1808">
        <f t="shared" si="6"/>
        <v>201.24703259566468</v>
      </c>
      <c r="AT41" s="1810">
        <f t="shared" si="7"/>
        <v>8.9999999999999993E-3</v>
      </c>
      <c r="AU41" s="1677">
        <f t="shared" si="8"/>
        <v>220.11069635087239</v>
      </c>
      <c r="AV41" s="1809">
        <f t="shared" si="9"/>
        <v>4.4999999999999997E-3</v>
      </c>
      <c r="AW41" s="1678">
        <f t="shared" si="10"/>
        <v>240.7908442503047</v>
      </c>
      <c r="AX41" s="956"/>
      <c r="AY41" s="1674" t="str">
        <f t="shared" si="11"/>
        <v>National sea</v>
      </c>
      <c r="AZ41" s="1809">
        <f t="shared" si="12"/>
        <v>8.9999999999999993E-3</v>
      </c>
      <c r="BA41" s="1810">
        <f t="shared" si="13"/>
        <v>8.9999999999999993E-3</v>
      </c>
      <c r="BB41" s="1811">
        <f t="shared" si="14"/>
        <v>4.4999999999999997E-3</v>
      </c>
      <c r="BC41" s="956"/>
      <c r="BD41" s="1674" t="str">
        <f t="shared" si="15"/>
        <v>National sea</v>
      </c>
      <c r="BE41" s="1675">
        <f t="shared" si="15"/>
        <v>184</v>
      </c>
      <c r="BF41" s="1676">
        <f t="shared" si="16"/>
        <v>201.24703259566468</v>
      </c>
      <c r="BG41" s="1677">
        <f t="shared" si="17"/>
        <v>220.11069635087239</v>
      </c>
      <c r="BH41" s="1676">
        <f t="shared" si="20"/>
        <v>230.45077030058854</v>
      </c>
      <c r="BI41" s="1678">
        <f t="shared" si="18"/>
        <v>240.7908442503047</v>
      </c>
      <c r="BJ41" s="956"/>
      <c r="BK41" s="956"/>
      <c r="BL41" s="956"/>
      <c r="BM41" s="956"/>
      <c r="BN41" s="956"/>
      <c r="BO41" s="956"/>
      <c r="BP41" s="956"/>
      <c r="BQ41" s="956"/>
      <c r="BR41" s="956"/>
      <c r="BS41" s="956"/>
      <c r="BT41" s="956"/>
      <c r="BU41" s="956"/>
      <c r="BV41" s="956"/>
      <c r="BW41" s="956"/>
      <c r="BX41" s="956"/>
      <c r="BY41" s="956"/>
      <c r="BZ41" s="956"/>
      <c r="CA41" s="956"/>
      <c r="CB41" s="956"/>
      <c r="CC41" s="956"/>
      <c r="CD41" s="956"/>
      <c r="CE41" s="956"/>
      <c r="CF41" s="956"/>
      <c r="CG41" s="956"/>
      <c r="CH41" s="956"/>
      <c r="CI41" s="956"/>
      <c r="CJ41" s="956"/>
      <c r="CK41" s="956"/>
      <c r="CL41" s="956"/>
      <c r="CM41" s="956"/>
      <c r="CN41" s="956"/>
      <c r="CO41" s="956"/>
      <c r="CP41" s="956"/>
      <c r="CQ41" s="956"/>
      <c r="CR41" s="956"/>
      <c r="CS41" s="956"/>
      <c r="CT41" s="956"/>
      <c r="CU41" s="956"/>
      <c r="CV41" s="956"/>
      <c r="CW41" s="956"/>
      <c r="CX41" s="956"/>
      <c r="CY41" s="956"/>
      <c r="CZ41" s="956"/>
    </row>
    <row r="42" spans="1:104" ht="16.5" thickBot="1" x14ac:dyDescent="0.3">
      <c r="A42" s="89"/>
      <c r="B42" s="118" t="s">
        <v>13</v>
      </c>
      <c r="C42" s="105">
        <v>8.9999999999999993E-3</v>
      </c>
      <c r="D42" s="88">
        <f>(1+C42)^D4</f>
        <v>1.0937338728025254</v>
      </c>
      <c r="E42" s="97">
        <v>810.12867958483059</v>
      </c>
      <c r="F42" s="102">
        <f>'Scenarios technology'!D193-E42</f>
        <v>0</v>
      </c>
      <c r="G42" s="105">
        <v>8.9999999999999993E-3</v>
      </c>
      <c r="H42" s="88">
        <f>(1+G42)^H4</f>
        <v>1.0937338728025254</v>
      </c>
      <c r="I42" s="97">
        <v>886.06517819071303</v>
      </c>
      <c r="J42" s="102">
        <f>'Scenarios technology'!D333-I42</f>
        <v>0</v>
      </c>
      <c r="K42" s="105">
        <v>4.4999999999999997E-3</v>
      </c>
      <c r="L42" s="88">
        <f>(1+K42)^L4</f>
        <v>1.0939533981868226</v>
      </c>
      <c r="M42" s="97">
        <v>969.31401269674302</v>
      </c>
      <c r="N42" s="102">
        <f>'Scenarios technology'!D473-M42</f>
        <v>0</v>
      </c>
      <c r="O42" s="98">
        <f t="shared" si="4"/>
        <v>0.30864589266469955</v>
      </c>
      <c r="Q42" s="73"/>
      <c r="R42" s="70"/>
      <c r="S42" s="70"/>
      <c r="T42" s="70"/>
      <c r="U42" s="70"/>
      <c r="V42" s="6"/>
      <c r="W42" s="6"/>
      <c r="X42" s="6"/>
      <c r="Y42" s="6"/>
      <c r="Z42" s="6"/>
      <c r="AA42" s="6"/>
      <c r="AB42" s="6"/>
      <c r="AC42" s="6"/>
      <c r="AD42" s="6"/>
      <c r="AE42" s="6"/>
      <c r="AF42" s="6"/>
      <c r="AG42" s="6"/>
      <c r="AH42" s="6"/>
      <c r="AI42" s="70"/>
      <c r="AJ42" s="70"/>
      <c r="AK42" s="70"/>
      <c r="AL42" s="70"/>
      <c r="AM42" s="70"/>
      <c r="AP42" s="1674" t="str">
        <f t="shared" si="0"/>
        <v>International sea</v>
      </c>
      <c r="AQ42" s="1696">
        <f>'Scenarios technology'!$D53</f>
        <v>740.7</v>
      </c>
      <c r="AR42" s="1809">
        <f t="shared" si="5"/>
        <v>8.9999999999999993E-3</v>
      </c>
      <c r="AS42" s="1808">
        <f t="shared" si="6"/>
        <v>810.12867958483059</v>
      </c>
      <c r="AT42" s="1810">
        <f t="shared" si="7"/>
        <v>8.9999999999999993E-3</v>
      </c>
      <c r="AU42" s="1677">
        <f t="shared" si="8"/>
        <v>886.06517819071303</v>
      </c>
      <c r="AV42" s="1809">
        <f t="shared" si="9"/>
        <v>4.4999999999999997E-3</v>
      </c>
      <c r="AW42" s="1678">
        <f t="shared" si="10"/>
        <v>969.31401269674302</v>
      </c>
      <c r="AX42" s="956"/>
      <c r="AY42" s="1674" t="str">
        <f t="shared" si="11"/>
        <v>International sea</v>
      </c>
      <c r="AZ42" s="1809">
        <f t="shared" si="12"/>
        <v>8.9999999999999993E-3</v>
      </c>
      <c r="BA42" s="1810">
        <f t="shared" si="13"/>
        <v>8.9999999999999993E-3</v>
      </c>
      <c r="BB42" s="1811">
        <f t="shared" si="14"/>
        <v>4.4999999999999997E-3</v>
      </c>
      <c r="BC42" s="956"/>
      <c r="BD42" s="1674" t="str">
        <f t="shared" si="15"/>
        <v>International sea</v>
      </c>
      <c r="BE42" s="1675">
        <f t="shared" si="15"/>
        <v>740.7</v>
      </c>
      <c r="BF42" s="1676">
        <f t="shared" si="16"/>
        <v>810.12867958483059</v>
      </c>
      <c r="BG42" s="1677">
        <f t="shared" si="17"/>
        <v>886.06517819071303</v>
      </c>
      <c r="BH42" s="1676">
        <f t="shared" si="20"/>
        <v>927.68959544372797</v>
      </c>
      <c r="BI42" s="1678">
        <f t="shared" si="18"/>
        <v>969.31401269674302</v>
      </c>
      <c r="BJ42" s="956"/>
      <c r="BK42" s="956"/>
      <c r="BL42" s="956"/>
      <c r="BM42" s="956"/>
      <c r="BN42" s="956"/>
      <c r="BO42" s="956"/>
      <c r="BP42" s="956"/>
      <c r="BQ42" s="956"/>
      <c r="BR42" s="956"/>
      <c r="BS42" s="956"/>
      <c r="BT42" s="956"/>
      <c r="BU42" s="956"/>
      <c r="BV42" s="956"/>
      <c r="BW42" s="956"/>
      <c r="BX42" s="956"/>
      <c r="BY42" s="956"/>
      <c r="BZ42" s="956"/>
      <c r="CA42" s="956"/>
      <c r="CB42" s="956"/>
      <c r="CC42" s="956"/>
      <c r="CD42" s="956"/>
      <c r="CE42" s="956"/>
      <c r="CF42" s="956"/>
      <c r="CG42" s="956"/>
      <c r="CH42" s="956"/>
      <c r="CI42" s="956"/>
      <c r="CJ42" s="956"/>
      <c r="CK42" s="956"/>
      <c r="CL42" s="956"/>
      <c r="CM42" s="956"/>
      <c r="CN42" s="956"/>
      <c r="CO42" s="956"/>
      <c r="CP42" s="956"/>
      <c r="CQ42" s="956"/>
      <c r="CR42" s="956"/>
      <c r="CS42" s="956"/>
      <c r="CT42" s="956"/>
      <c r="CU42" s="956"/>
      <c r="CV42" s="956"/>
      <c r="CW42" s="956"/>
      <c r="CX42" s="956"/>
      <c r="CY42" s="956"/>
      <c r="CZ42" s="956"/>
    </row>
    <row r="43" spans="1:104" ht="16.5" thickBot="1" x14ac:dyDescent="0.3">
      <c r="A43" s="69"/>
      <c r="B43" s="121" t="s">
        <v>0</v>
      </c>
      <c r="C43" s="106">
        <f>('Scenarios technology'!D196/'Scenarios technology'!D56)^(1/10)-1</f>
        <v>1.9859052221188778E-2</v>
      </c>
      <c r="D43" s="107">
        <f>(1+C43)^$D$4</f>
        <v>1.2173110106215741</v>
      </c>
      <c r="E43" s="947">
        <v>108566.48579176463</v>
      </c>
      <c r="F43" s="49">
        <f>'Scenarios technology'!D196-E43</f>
        <v>0</v>
      </c>
      <c r="G43" s="106">
        <f>('Scenarios technology'!D336/'Scenarios technology'!D196)^(1/10)-1</f>
        <v>2.0446986224406771E-2</v>
      </c>
      <c r="H43" s="107">
        <f>(1+G43)^$H$4</f>
        <v>1.2243468656797494</v>
      </c>
      <c r="I43" s="951">
        <v>132923.03659701213</v>
      </c>
      <c r="J43" s="49">
        <f>'Scenarios technology'!D336-I43</f>
        <v>0</v>
      </c>
      <c r="K43" s="106">
        <f>('Scenarios technology'!D476/'Scenarios technology'!D336)^(1/20)-1</f>
        <v>1.0219764716966617E-2</v>
      </c>
      <c r="L43" s="107">
        <f>(1+K43)^$L$4</f>
        <v>1.225511024979226</v>
      </c>
      <c r="M43" s="955">
        <v>162898.64682335564</v>
      </c>
      <c r="N43" s="49">
        <f>'Scenarios technology'!D476-M43</f>
        <v>0</v>
      </c>
      <c r="O43" s="108">
        <f t="shared" si="4"/>
        <v>0.8265150147143081</v>
      </c>
      <c r="Q43" s="73"/>
      <c r="R43" s="70"/>
      <c r="S43" s="70"/>
      <c r="T43" s="70"/>
      <c r="U43" s="70"/>
      <c r="V43" s="7"/>
      <c r="W43" s="7"/>
      <c r="X43" s="7"/>
      <c r="Y43" s="7"/>
      <c r="Z43" s="7"/>
      <c r="AA43" s="7"/>
      <c r="AB43" s="7"/>
      <c r="AC43" s="7"/>
      <c r="AD43" s="7"/>
      <c r="AE43" s="7"/>
      <c r="AF43" s="7"/>
      <c r="AG43" s="6"/>
      <c r="AH43" s="6"/>
      <c r="AI43" s="70"/>
      <c r="AJ43" s="70"/>
      <c r="AK43" s="70"/>
      <c r="AL43" s="70"/>
      <c r="AM43" s="70"/>
      <c r="AP43" s="1734" t="str">
        <f t="shared" si="0"/>
        <v>Total</v>
      </c>
      <c r="AQ43" s="1696">
        <f>'Scenarios technology'!$D56</f>
        <v>89185.495608331985</v>
      </c>
      <c r="AR43" s="1848">
        <f t="shared" si="5"/>
        <v>1.9859052221188778E-2</v>
      </c>
      <c r="AS43" s="1849">
        <f t="shared" si="6"/>
        <v>108566.48579176463</v>
      </c>
      <c r="AT43" s="1850">
        <f t="shared" si="7"/>
        <v>2.0446986224406771E-2</v>
      </c>
      <c r="AU43" s="1737">
        <f t="shared" si="8"/>
        <v>132923.03659701213</v>
      </c>
      <c r="AV43" s="1848">
        <f t="shared" si="9"/>
        <v>1.0219764716966617E-2</v>
      </c>
      <c r="AW43" s="1738">
        <f t="shared" si="10"/>
        <v>162898.64682335564</v>
      </c>
      <c r="AX43" s="956"/>
      <c r="AY43" s="1734" t="str">
        <f t="shared" si="11"/>
        <v>Total</v>
      </c>
      <c r="AZ43" s="1848">
        <f t="shared" si="12"/>
        <v>1.9859052221188778E-2</v>
      </c>
      <c r="BA43" s="1850">
        <f t="shared" si="13"/>
        <v>2.0446986224406771E-2</v>
      </c>
      <c r="BB43" s="1851">
        <f t="shared" si="14"/>
        <v>1.0219764716966617E-2</v>
      </c>
      <c r="BC43" s="956"/>
      <c r="BD43" s="1734" t="str">
        <f t="shared" si="15"/>
        <v>Total</v>
      </c>
      <c r="BE43" s="1735">
        <f t="shared" si="15"/>
        <v>89185.495608331985</v>
      </c>
      <c r="BF43" s="1736">
        <f t="shared" si="16"/>
        <v>108566.48579176463</v>
      </c>
      <c r="BG43" s="1737">
        <f t="shared" si="17"/>
        <v>132923.03659701213</v>
      </c>
      <c r="BH43" s="1736">
        <f t="shared" si="20"/>
        <v>147910.84171018389</v>
      </c>
      <c r="BI43" s="1738">
        <f t="shared" si="18"/>
        <v>162898.64682335564</v>
      </c>
      <c r="BJ43" s="956"/>
      <c r="BK43" s="956"/>
      <c r="BL43" s="956"/>
      <c r="BM43" s="956"/>
      <c r="BN43" s="956"/>
      <c r="BO43" s="956"/>
      <c r="BP43" s="956"/>
      <c r="BQ43" s="956"/>
      <c r="BR43" s="956"/>
      <c r="BS43" s="956"/>
      <c r="BT43" s="956"/>
      <c r="BU43" s="956"/>
      <c r="BV43" s="956"/>
      <c r="BW43" s="956"/>
      <c r="BX43" s="956"/>
      <c r="BY43" s="956"/>
      <c r="BZ43" s="956"/>
      <c r="CA43" s="956"/>
      <c r="CB43" s="956"/>
      <c r="CC43" s="956"/>
      <c r="CD43" s="956"/>
      <c r="CE43" s="956"/>
      <c r="CF43" s="956"/>
      <c r="CG43" s="956"/>
      <c r="CH43" s="956"/>
      <c r="CI43" s="956"/>
      <c r="CJ43" s="956"/>
      <c r="CK43" s="956"/>
      <c r="CL43" s="956"/>
      <c r="CM43" s="956"/>
      <c r="CN43" s="956"/>
      <c r="CO43" s="956"/>
      <c r="CP43" s="956"/>
      <c r="CQ43" s="956"/>
      <c r="CR43" s="956"/>
      <c r="CS43" s="956"/>
      <c r="CT43" s="956"/>
      <c r="CU43" s="956"/>
      <c r="CV43" s="956"/>
      <c r="CW43" s="956"/>
      <c r="CX43" s="956"/>
      <c r="CY43" s="956"/>
      <c r="CZ43" s="956"/>
    </row>
    <row r="44" spans="1:104" ht="16.5" thickBot="1" x14ac:dyDescent="0.3">
      <c r="A44" s="69"/>
      <c r="Q44" s="73"/>
      <c r="R44" s="70"/>
      <c r="S44" s="70"/>
      <c r="T44" s="70"/>
      <c r="U44" s="70"/>
      <c r="V44" s="7"/>
      <c r="W44" s="7"/>
      <c r="X44" s="7"/>
      <c r="Y44" s="7"/>
      <c r="Z44" s="7"/>
      <c r="AA44" s="7"/>
      <c r="AB44" s="7"/>
      <c r="AC44" s="7"/>
      <c r="AD44" s="7"/>
      <c r="AE44" s="7"/>
      <c r="AF44" s="7"/>
      <c r="AG44" s="6"/>
      <c r="AH44" s="6"/>
      <c r="AI44" s="70"/>
      <c r="AJ44" s="70"/>
      <c r="AK44" s="70"/>
      <c r="AL44" s="70"/>
      <c r="AM44" s="70"/>
      <c r="AP44" s="1741"/>
      <c r="AQ44" s="1741"/>
      <c r="AR44" s="1741"/>
      <c r="AS44" s="1741"/>
      <c r="AT44" s="1741"/>
      <c r="AU44" s="1741"/>
      <c r="AV44" s="1741"/>
      <c r="AW44" s="1741"/>
      <c r="AX44" s="956"/>
      <c r="AY44" s="1741"/>
      <c r="AZ44" s="1741"/>
      <c r="BA44" s="1741"/>
      <c r="BB44" s="1741"/>
      <c r="BC44" s="956"/>
      <c r="BD44" s="1741"/>
      <c r="BE44" s="1741"/>
      <c r="BF44" s="1741"/>
      <c r="BG44" s="1741"/>
      <c r="BH44" s="1741"/>
      <c r="BI44" s="1741"/>
      <c r="BJ44" s="956"/>
      <c r="BK44" s="956"/>
      <c r="BL44" s="956"/>
      <c r="BM44" s="956"/>
      <c r="BN44" s="956"/>
      <c r="BO44" s="956"/>
      <c r="BP44" s="956"/>
      <c r="BQ44" s="956"/>
      <c r="BR44" s="956"/>
      <c r="BS44" s="956"/>
      <c r="BT44" s="956"/>
      <c r="BU44" s="956"/>
      <c r="BV44" s="956"/>
      <c r="BW44" s="956"/>
      <c r="BX44" s="956"/>
      <c r="BY44" s="956"/>
      <c r="BZ44" s="956"/>
      <c r="CA44" s="956"/>
      <c r="CB44" s="956"/>
      <c r="CC44" s="956"/>
      <c r="CD44" s="956"/>
      <c r="CE44" s="956"/>
      <c r="CF44" s="956"/>
      <c r="CG44" s="956"/>
      <c r="CH44" s="956"/>
      <c r="CI44" s="956"/>
      <c r="CJ44" s="956"/>
      <c r="CK44" s="956"/>
      <c r="CL44" s="956"/>
      <c r="CM44" s="956"/>
      <c r="CN44" s="956"/>
      <c r="CO44" s="956"/>
      <c r="CP44" s="956"/>
      <c r="CQ44" s="956"/>
      <c r="CR44" s="956"/>
      <c r="CS44" s="956"/>
      <c r="CT44" s="956"/>
      <c r="CU44" s="956"/>
      <c r="CV44" s="956"/>
      <c r="CW44" s="956"/>
      <c r="CX44" s="956"/>
      <c r="CY44" s="956"/>
      <c r="CZ44" s="956"/>
    </row>
    <row r="45" spans="1:104" ht="19.5" thickBot="1" x14ac:dyDescent="0.3">
      <c r="A45" s="15"/>
      <c r="B45" s="117" t="s">
        <v>134</v>
      </c>
      <c r="C45" s="86" t="s">
        <v>46</v>
      </c>
      <c r="D45" s="86">
        <v>10</v>
      </c>
      <c r="E45" s="86" t="s">
        <v>45</v>
      </c>
      <c r="F45" s="86" t="s">
        <v>132</v>
      </c>
      <c r="G45" s="100" t="s">
        <v>47</v>
      </c>
      <c r="H45" s="86">
        <v>10</v>
      </c>
      <c r="I45" s="86" t="s">
        <v>45</v>
      </c>
      <c r="J45" s="888" t="s">
        <v>132</v>
      </c>
      <c r="K45" s="100" t="s">
        <v>48</v>
      </c>
      <c r="L45" s="888">
        <v>20</v>
      </c>
      <c r="M45" s="888" t="s">
        <v>45</v>
      </c>
      <c r="N45" s="889" t="s">
        <v>132</v>
      </c>
      <c r="O45" s="145" t="s">
        <v>50</v>
      </c>
      <c r="P45" s="2"/>
      <c r="Q45" s="26"/>
      <c r="R45" s="73"/>
      <c r="S45" s="73"/>
      <c r="T45" s="73"/>
      <c r="V45" s="7"/>
      <c r="W45" s="7"/>
      <c r="X45" s="7"/>
      <c r="Y45" s="7"/>
      <c r="Z45" s="7"/>
      <c r="AA45" s="7"/>
      <c r="AB45" s="7"/>
      <c r="AC45" s="7"/>
      <c r="AD45" s="7"/>
      <c r="AE45" s="7"/>
      <c r="AF45" s="7"/>
      <c r="AG45" s="6"/>
      <c r="AH45" s="6"/>
      <c r="AI45" s="70"/>
      <c r="AJ45" s="70"/>
      <c r="AK45" s="70"/>
      <c r="AL45" s="70"/>
      <c r="AM45" s="70"/>
      <c r="AP45" s="1742" t="str">
        <f t="shared" si="0"/>
        <v>Growth rates</v>
      </c>
      <c r="AQ45" s="1786">
        <v>2010</v>
      </c>
      <c r="AR45" s="1997" t="str">
        <f t="shared" si="5"/>
        <v>2010-2020</v>
      </c>
      <c r="AS45" s="1997"/>
      <c r="AT45" s="1998" t="str">
        <f t="shared" si="7"/>
        <v>2020-2030</v>
      </c>
      <c r="AU45" s="1999"/>
      <c r="AV45" s="1997" t="str">
        <f t="shared" si="9"/>
        <v>2030-2050</v>
      </c>
      <c r="AW45" s="2000"/>
      <c r="AX45" s="956"/>
      <c r="AY45" s="1742" t="str">
        <f>AP45</f>
        <v>Growth rates</v>
      </c>
      <c r="AZ45" s="1787" t="str">
        <f>$AR$4</f>
        <v>2010-2020</v>
      </c>
      <c r="BA45" s="1788" t="str">
        <f>$AT$4</f>
        <v>2020-2030</v>
      </c>
      <c r="BB45" s="1789" t="str">
        <f>$T$4</f>
        <v>2030-2050</v>
      </c>
      <c r="BC45" s="956"/>
      <c r="BD45" s="2001" t="s">
        <v>519</v>
      </c>
      <c r="BE45" s="1786">
        <f>BE4</f>
        <v>2010</v>
      </c>
      <c r="BF45" s="1790">
        <f t="shared" ref="BF45:BI45" si="31">BF4</f>
        <v>2020</v>
      </c>
      <c r="BG45" s="1791">
        <f t="shared" si="31"/>
        <v>2030</v>
      </c>
      <c r="BH45" s="1790">
        <f t="shared" si="31"/>
        <v>2040</v>
      </c>
      <c r="BI45" s="1789">
        <f t="shared" si="31"/>
        <v>2050</v>
      </c>
      <c r="BJ45" s="956"/>
      <c r="BK45" s="1965" t="s">
        <v>519</v>
      </c>
      <c r="BL45" s="1966"/>
      <c r="BM45" s="1966"/>
      <c r="BN45" s="1966"/>
      <c r="BO45" s="1966"/>
      <c r="BP45" s="1967"/>
      <c r="BQ45" s="956"/>
      <c r="BR45" s="956"/>
      <c r="BS45" s="956"/>
      <c r="BT45" s="956"/>
      <c r="BU45" s="956"/>
      <c r="BV45" s="956"/>
      <c r="BW45" s="956"/>
      <c r="BX45" s="956"/>
      <c r="BY45" s="956"/>
      <c r="BZ45" s="956"/>
      <c r="CA45" s="956"/>
      <c r="CB45" s="956"/>
      <c r="CC45" s="956"/>
      <c r="CD45" s="956"/>
      <c r="CE45" s="956"/>
      <c r="CF45" s="956"/>
      <c r="CG45" s="956"/>
      <c r="CH45" s="956"/>
      <c r="CI45" s="956"/>
      <c r="CJ45" s="956"/>
      <c r="CK45" s="956"/>
      <c r="CL45" s="956"/>
      <c r="CM45" s="956"/>
      <c r="CN45" s="956"/>
      <c r="CO45" s="956"/>
      <c r="CP45" s="956"/>
      <c r="CQ45" s="956"/>
      <c r="CR45" s="956"/>
      <c r="CS45" s="956"/>
      <c r="CT45" s="956"/>
      <c r="CU45" s="956"/>
      <c r="CV45" s="956"/>
      <c r="CW45" s="956"/>
      <c r="CX45" s="956"/>
      <c r="CY45" s="956"/>
      <c r="CZ45" s="956"/>
    </row>
    <row r="46" spans="1:104" ht="16.5" thickBot="1" x14ac:dyDescent="0.3">
      <c r="A46" s="89"/>
      <c r="B46" s="122" t="s">
        <v>14</v>
      </c>
      <c r="C46" s="43" t="s">
        <v>49</v>
      </c>
      <c r="D46" s="43" t="s">
        <v>133</v>
      </c>
      <c r="E46" s="43" t="s">
        <v>162</v>
      </c>
      <c r="F46" s="43" t="s">
        <v>162</v>
      </c>
      <c r="G46" s="45" t="s">
        <v>49</v>
      </c>
      <c r="H46" s="43" t="s">
        <v>133</v>
      </c>
      <c r="I46" s="43" t="s">
        <v>162</v>
      </c>
      <c r="J46" s="43" t="s">
        <v>162</v>
      </c>
      <c r="K46" s="45" t="s">
        <v>49</v>
      </c>
      <c r="L46" s="43" t="s">
        <v>133</v>
      </c>
      <c r="M46" s="43" t="s">
        <v>162</v>
      </c>
      <c r="N46" s="46" t="s">
        <v>162</v>
      </c>
      <c r="O46" s="146" t="s">
        <v>133</v>
      </c>
      <c r="Q46" s="7"/>
      <c r="R46" s="73"/>
      <c r="S46" s="73"/>
      <c r="T46" s="73"/>
      <c r="V46" s="7"/>
      <c r="W46" s="7"/>
      <c r="X46" s="7"/>
      <c r="Y46" s="7"/>
      <c r="Z46" s="7"/>
      <c r="AA46" s="7"/>
      <c r="AB46" s="7"/>
      <c r="AC46" s="7"/>
      <c r="AD46" s="7"/>
      <c r="AE46" s="7"/>
      <c r="AF46" s="7"/>
      <c r="AG46" s="6"/>
      <c r="AH46" s="6"/>
      <c r="AI46" s="70"/>
      <c r="AJ46" s="70"/>
      <c r="AK46" s="70"/>
      <c r="AL46" s="70"/>
      <c r="AM46" s="70"/>
      <c r="AP46" s="1792" t="str">
        <f t="shared" si="0"/>
        <v>Freight transport</v>
      </c>
      <c r="AQ46" s="1793" t="s">
        <v>520</v>
      </c>
      <c r="AR46" s="1794" t="str">
        <f>$AR$5</f>
        <v>Growth Rate (%/year)</v>
      </c>
      <c r="AS46" s="1794" t="s">
        <v>520</v>
      </c>
      <c r="AT46" s="1795" t="str">
        <f>$AR$5</f>
        <v>Growth Rate (%/year)</v>
      </c>
      <c r="AU46" s="1796" t="str">
        <f>$AS$46</f>
        <v>Transport Demand (Mtkm)</v>
      </c>
      <c r="AV46" s="1794" t="str">
        <f>$AR$5</f>
        <v>Growth Rate (%/year)</v>
      </c>
      <c r="AW46" s="1797" t="str">
        <f>$AS$46</f>
        <v>Transport Demand (Mtkm)</v>
      </c>
      <c r="AX46" s="956"/>
      <c r="AY46" s="1792" t="str">
        <f>AP46</f>
        <v>Freight transport</v>
      </c>
      <c r="AZ46" s="1794" t="str">
        <f>AR46</f>
        <v>Growth Rate (%/year)</v>
      </c>
      <c r="BA46" s="1795" t="str">
        <f>AT46</f>
        <v>Growth Rate (%/year)</v>
      </c>
      <c r="BB46" s="1797" t="str">
        <f>AV46</f>
        <v>Growth Rate (%/year)</v>
      </c>
      <c r="BC46" s="956"/>
      <c r="BD46" s="2002"/>
      <c r="BE46" s="1793" t="str">
        <f t="shared" ref="BE46:BE67" si="32">AQ46</f>
        <v>Transport Demand (Mtkm)</v>
      </c>
      <c r="BF46" s="1798" t="str">
        <f>AS46</f>
        <v>Transport Demand (Mtkm)</v>
      </c>
      <c r="BG46" s="1796" t="str">
        <f>AU46</f>
        <v>Transport Demand (Mtkm)</v>
      </c>
      <c r="BH46" s="1798"/>
      <c r="BI46" s="1797" t="str">
        <f>AW46</f>
        <v>Transport Demand (Mtkm)</v>
      </c>
      <c r="BJ46" s="956"/>
      <c r="BK46" s="1852" t="s">
        <v>454</v>
      </c>
      <c r="BL46" s="1801">
        <f>BE45</f>
        <v>2010</v>
      </c>
      <c r="BM46" s="1800">
        <f>BF45</f>
        <v>2020</v>
      </c>
      <c r="BN46" s="1801">
        <f>BG45</f>
        <v>2030</v>
      </c>
      <c r="BO46" s="1801">
        <f>BH45</f>
        <v>2040</v>
      </c>
      <c r="BP46" s="1802">
        <f>BI45</f>
        <v>2050</v>
      </c>
      <c r="BQ46" s="956"/>
      <c r="BR46" s="956"/>
      <c r="BS46" s="956"/>
      <c r="BT46" s="956"/>
      <c r="BU46" s="956"/>
      <c r="BV46" s="956"/>
      <c r="BW46" s="956"/>
      <c r="BX46" s="956"/>
      <c r="BY46" s="956"/>
      <c r="BZ46" s="956"/>
      <c r="CA46" s="956"/>
      <c r="CB46" s="956"/>
      <c r="CC46" s="956"/>
      <c r="CD46" s="956"/>
      <c r="CE46" s="956"/>
      <c r="CF46" s="956"/>
      <c r="CG46" s="956"/>
      <c r="CH46" s="956"/>
      <c r="CI46" s="956"/>
      <c r="CJ46" s="956"/>
      <c r="CK46" s="956"/>
      <c r="CL46" s="956"/>
      <c r="CM46" s="956"/>
      <c r="CN46" s="956"/>
      <c r="CO46" s="956"/>
      <c r="CP46" s="956"/>
      <c r="CQ46" s="956"/>
      <c r="CR46" s="956"/>
      <c r="CS46" s="956"/>
      <c r="CT46" s="956"/>
      <c r="CU46" s="956"/>
      <c r="CV46" s="956"/>
      <c r="CW46" s="956"/>
      <c r="CX46" s="956"/>
      <c r="CY46" s="956"/>
      <c r="CZ46" s="956"/>
    </row>
    <row r="47" spans="1:104" ht="16.5" thickBot="1" x14ac:dyDescent="0.3">
      <c r="A47" s="89"/>
      <c r="B47" s="129" t="s">
        <v>15</v>
      </c>
      <c r="C47" s="110">
        <f>('Scenarios technology'!D201/'Scenarios technology'!D61)^(1/10)-1</f>
        <v>2.2025115097018988E-2</v>
      </c>
      <c r="D47" s="110">
        <f t="shared" ref="D47:D65" si="33">(1+C47)^$D$4</f>
        <v>1.2434137975041715</v>
      </c>
      <c r="E47" s="111">
        <v>12436.848617120282</v>
      </c>
      <c r="F47" s="59">
        <f>'Scenarios technology'!D201-E47</f>
        <v>0</v>
      </c>
      <c r="G47" s="109">
        <f>('Scenarios technology'!D341/'Scenarios technology'!D201)^(1/10)-1</f>
        <v>2.199106755735003E-2</v>
      </c>
      <c r="H47" s="110">
        <f t="shared" ref="H47:H65" si="34">(1+G47)^$H$4</f>
        <v>1.2429996312182532</v>
      </c>
      <c r="I47" s="111">
        <v>15458.998244597751</v>
      </c>
      <c r="J47" s="59">
        <f>'Scenarios technology'!D341-I47</f>
        <v>0</v>
      </c>
      <c r="K47" s="94">
        <f>('Scenarios technology'!D481/'Scenarios technology'!D341)^(1/20)-1</f>
        <v>1.1010607629218017E-2</v>
      </c>
      <c r="L47" s="95">
        <f t="shared" ref="L47:L65" si="35">(1+K47)^$L$4</f>
        <v>1.2448420370094366</v>
      </c>
      <c r="M47" s="99">
        <v>19244.010864930344</v>
      </c>
      <c r="N47" s="101">
        <f>'Scenarios technology'!D481-M47</f>
        <v>0</v>
      </c>
      <c r="O47" s="147">
        <f t="shared" ref="O47:O65" si="36">(((1+C47)^$D$4)*((1+G47)^$H$4)*((1+K47)^$L$4))-1</f>
        <v>0.92398165849148484</v>
      </c>
      <c r="Q47" s="73"/>
      <c r="R47" s="73"/>
      <c r="S47" s="73"/>
      <c r="T47" s="73"/>
      <c r="V47" s="7"/>
      <c r="W47" s="7"/>
      <c r="X47" s="7"/>
      <c r="Y47" s="7"/>
      <c r="Z47" s="7"/>
      <c r="AA47" s="7"/>
      <c r="AB47" s="7"/>
      <c r="AC47" s="7"/>
      <c r="AD47" s="7"/>
      <c r="AE47" s="7"/>
      <c r="AF47" s="7"/>
      <c r="AG47" s="6"/>
      <c r="AH47" s="6"/>
      <c r="AI47" s="70"/>
      <c r="AJ47" s="70"/>
      <c r="AK47" s="70"/>
      <c r="AL47" s="70"/>
      <c r="AM47" s="70"/>
      <c r="AP47" s="1695" t="str">
        <f t="shared" si="0"/>
        <v>National truck</v>
      </c>
      <c r="AQ47" s="1696">
        <f>'Scenarios technology'!$D61</f>
        <v>10002.18</v>
      </c>
      <c r="AR47" s="1823">
        <f t="shared" si="5"/>
        <v>2.2025115097018988E-2</v>
      </c>
      <c r="AS47" s="1824">
        <f t="shared" si="6"/>
        <v>12436.848617120282</v>
      </c>
      <c r="AT47" s="1825">
        <f t="shared" si="7"/>
        <v>2.199106755735003E-2</v>
      </c>
      <c r="AU47" s="1698">
        <f t="shared" si="8"/>
        <v>15458.998244597751</v>
      </c>
      <c r="AV47" s="1823">
        <f t="shared" si="9"/>
        <v>1.1010607629218017E-2</v>
      </c>
      <c r="AW47" s="1699">
        <f t="shared" si="10"/>
        <v>19244.010864930344</v>
      </c>
      <c r="AX47" s="956"/>
      <c r="AY47" s="1695" t="str">
        <f t="shared" ref="AY47:AY67" si="37">AP47</f>
        <v>National truck</v>
      </c>
      <c r="AZ47" s="1823">
        <f t="shared" ref="AZ47:AZ67" si="38">AR47</f>
        <v>2.2025115097018988E-2</v>
      </c>
      <c r="BA47" s="1825">
        <f t="shared" ref="BA47:BA67" si="39">AT47</f>
        <v>2.199106755735003E-2</v>
      </c>
      <c r="BB47" s="1826">
        <f t="shared" ref="BB47:BB67" si="40">AV47</f>
        <v>1.1010607629218017E-2</v>
      </c>
      <c r="BC47" s="956"/>
      <c r="BD47" s="1695" t="str">
        <f t="shared" ref="BD47:BD67" si="41">AP47</f>
        <v>National truck</v>
      </c>
      <c r="BE47" s="1696">
        <f t="shared" si="32"/>
        <v>10002.18</v>
      </c>
      <c r="BF47" s="1697">
        <f t="shared" ref="BF47:BF67" si="42">AS47</f>
        <v>12436.848617120282</v>
      </c>
      <c r="BG47" s="1698">
        <f t="shared" ref="BG47:BG67" si="43">AU47</f>
        <v>15458.998244597751</v>
      </c>
      <c r="BH47" s="1697">
        <f t="shared" ref="BH47:BH67" si="44">AVERAGE(BG47,BI47)</f>
        <v>17351.504554764047</v>
      </c>
      <c r="BI47" s="1699">
        <f t="shared" ref="BI47:BI67" si="45">AW47</f>
        <v>19244.010864930344</v>
      </c>
      <c r="BJ47" s="956"/>
      <c r="BK47" s="1853" t="str">
        <f t="shared" ref="BK47:BP47" si="46">BD55</f>
        <v>Vans (2-6 t)</v>
      </c>
      <c r="BL47" s="1676">
        <f t="shared" si="46"/>
        <v>4056.5</v>
      </c>
      <c r="BM47" s="1808">
        <f t="shared" si="46"/>
        <v>5042.6687239745506</v>
      </c>
      <c r="BN47" s="1676">
        <f t="shared" si="46"/>
        <v>6268.5832268584054</v>
      </c>
      <c r="BO47" s="1676">
        <f t="shared" si="46"/>
        <v>7035.1709112000381</v>
      </c>
      <c r="BP47" s="1678">
        <f t="shared" si="46"/>
        <v>7801.7585955416707</v>
      </c>
      <c r="BQ47" s="1854"/>
      <c r="BR47" s="956"/>
      <c r="BS47" s="956"/>
      <c r="BT47" s="956"/>
      <c r="BU47" s="956"/>
      <c r="BV47" s="956"/>
      <c r="BW47" s="956"/>
      <c r="BX47" s="956"/>
      <c r="BY47" s="956"/>
      <c r="BZ47" s="956"/>
      <c r="CA47" s="956"/>
      <c r="CB47" s="956"/>
      <c r="CC47" s="956"/>
      <c r="CD47" s="956"/>
      <c r="CE47" s="956"/>
      <c r="CF47" s="956"/>
      <c r="CG47" s="956"/>
      <c r="CH47" s="956"/>
      <c r="CI47" s="956"/>
      <c r="CJ47" s="956"/>
      <c r="CK47" s="956"/>
      <c r="CL47" s="956"/>
      <c r="CM47" s="956"/>
      <c r="CN47" s="956"/>
      <c r="CO47" s="956"/>
      <c r="CP47" s="956"/>
      <c r="CQ47" s="956"/>
      <c r="CR47" s="956"/>
      <c r="CS47" s="956"/>
      <c r="CT47" s="956"/>
      <c r="CU47" s="956"/>
      <c r="CV47" s="956"/>
      <c r="CW47" s="956"/>
      <c r="CX47" s="956"/>
      <c r="CY47" s="956"/>
      <c r="CZ47" s="956"/>
    </row>
    <row r="48" spans="1:104" ht="16.5" thickBot="1" x14ac:dyDescent="0.3">
      <c r="A48" s="69"/>
      <c r="B48" s="119" t="s">
        <v>32</v>
      </c>
      <c r="C48" s="134">
        <v>0.01</v>
      </c>
      <c r="D48" s="88">
        <f t="shared" si="33"/>
        <v>1.1046221254112047</v>
      </c>
      <c r="E48" s="97">
        <v>1339.0938748378678</v>
      </c>
      <c r="F48" s="16">
        <f>'Scenarios technology'!D202-E48</f>
        <v>0</v>
      </c>
      <c r="G48" s="104">
        <v>0.01</v>
      </c>
      <c r="H48" s="88">
        <f t="shared" si="34"/>
        <v>1.1046221254112047</v>
      </c>
      <c r="I48" s="97">
        <v>1479.1927221485314</v>
      </c>
      <c r="J48" s="16">
        <f>'Scenarios technology'!D342-I48</f>
        <v>0</v>
      </c>
      <c r="K48" s="104">
        <v>5.0000000000000001E-3</v>
      </c>
      <c r="L48" s="88">
        <f t="shared" si="35"/>
        <v>1.1048955771867275</v>
      </c>
      <c r="M48" s="97">
        <v>1634.3534965087083</v>
      </c>
      <c r="N48" s="102">
        <f>'Scenarios technology'!D482-M48</f>
        <v>0</v>
      </c>
      <c r="O48" s="148">
        <f t="shared" si="36"/>
        <v>0.34818257846580525</v>
      </c>
      <c r="Q48" s="73"/>
      <c r="R48" s="73"/>
      <c r="S48" s="73"/>
      <c r="T48" s="73"/>
      <c r="V48" s="7"/>
      <c r="W48" s="7"/>
      <c r="X48" s="7"/>
      <c r="Y48" s="7"/>
      <c r="Z48" s="7"/>
      <c r="AA48" s="7"/>
      <c r="AB48" s="7"/>
      <c r="AC48" s="7"/>
      <c r="AD48" s="7"/>
      <c r="AE48" s="7"/>
      <c r="AF48" s="7"/>
      <c r="AG48" s="6"/>
      <c r="AH48" s="6"/>
      <c r="AI48" s="70"/>
      <c r="AJ48" s="70"/>
      <c r="AK48" s="70"/>
      <c r="AL48" s="70"/>
      <c r="AM48" s="70"/>
      <c r="AP48" s="1674" t="str">
        <f t="shared" si="0"/>
        <v>&lt;50km</v>
      </c>
      <c r="AQ48" s="1696">
        <f>'Scenarios technology'!$D62</f>
        <v>1212.264216</v>
      </c>
      <c r="AR48" s="1809">
        <f t="shared" si="5"/>
        <v>0.01</v>
      </c>
      <c r="AS48" s="1808">
        <f t="shared" si="6"/>
        <v>1339.0938748378678</v>
      </c>
      <c r="AT48" s="1810">
        <f t="shared" si="7"/>
        <v>0.01</v>
      </c>
      <c r="AU48" s="1677">
        <f t="shared" si="8"/>
        <v>1479.1927221485314</v>
      </c>
      <c r="AV48" s="1809">
        <f t="shared" si="9"/>
        <v>5.0000000000000001E-3</v>
      </c>
      <c r="AW48" s="1678">
        <f t="shared" si="10"/>
        <v>1634.3534965087083</v>
      </c>
      <c r="AX48" s="956"/>
      <c r="AY48" s="1674" t="str">
        <f t="shared" si="37"/>
        <v>&lt;50km</v>
      </c>
      <c r="AZ48" s="1809">
        <f t="shared" si="38"/>
        <v>0.01</v>
      </c>
      <c r="BA48" s="1810">
        <f t="shared" si="39"/>
        <v>0.01</v>
      </c>
      <c r="BB48" s="1811">
        <f t="shared" si="40"/>
        <v>5.0000000000000001E-3</v>
      </c>
      <c r="BC48" s="956"/>
      <c r="BD48" s="1674" t="str">
        <f t="shared" si="41"/>
        <v>&lt;50km</v>
      </c>
      <c r="BE48" s="1675">
        <f t="shared" si="32"/>
        <v>1212.264216</v>
      </c>
      <c r="BF48" s="1676">
        <f t="shared" si="42"/>
        <v>1339.0938748378678</v>
      </c>
      <c r="BG48" s="1677">
        <f t="shared" si="43"/>
        <v>1479.1927221485314</v>
      </c>
      <c r="BH48" s="1676">
        <f t="shared" si="44"/>
        <v>1556.7731093286197</v>
      </c>
      <c r="BI48" s="1678">
        <f t="shared" si="45"/>
        <v>1634.3534965087083</v>
      </c>
      <c r="BJ48" s="956"/>
      <c r="BK48" s="1853" t="str">
        <f t="shared" ref="BK48:BP48" si="47">BD47</f>
        <v>National truck</v>
      </c>
      <c r="BL48" s="1676">
        <f t="shared" si="47"/>
        <v>10002.18</v>
      </c>
      <c r="BM48" s="1808">
        <f t="shared" si="47"/>
        <v>12436.848617120282</v>
      </c>
      <c r="BN48" s="1676">
        <f t="shared" si="47"/>
        <v>15458.998244597751</v>
      </c>
      <c r="BO48" s="1676">
        <f t="shared" si="47"/>
        <v>17351.504554764047</v>
      </c>
      <c r="BP48" s="1678">
        <f t="shared" si="47"/>
        <v>19244.010864930344</v>
      </c>
      <c r="BQ48" s="1854"/>
      <c r="BR48" s="956"/>
      <c r="BS48" s="956"/>
      <c r="BT48" s="956"/>
      <c r="BU48" s="956"/>
      <c r="BV48" s="956"/>
      <c r="BW48" s="956"/>
      <c r="BX48" s="956"/>
      <c r="BY48" s="956"/>
      <c r="BZ48" s="956"/>
      <c r="CA48" s="956"/>
      <c r="CB48" s="956"/>
      <c r="CC48" s="956"/>
      <c r="CD48" s="956"/>
      <c r="CE48" s="956"/>
      <c r="CF48" s="956"/>
      <c r="CG48" s="956"/>
      <c r="CH48" s="956"/>
      <c r="CI48" s="956"/>
      <c r="CJ48" s="956"/>
      <c r="CK48" s="956"/>
      <c r="CL48" s="956"/>
      <c r="CM48" s="956"/>
      <c r="CN48" s="956"/>
      <c r="CO48" s="956"/>
      <c r="CP48" s="956"/>
      <c r="CQ48" s="956"/>
      <c r="CR48" s="956"/>
      <c r="CS48" s="956"/>
      <c r="CT48" s="956"/>
      <c r="CU48" s="956"/>
      <c r="CV48" s="956"/>
      <c r="CW48" s="956"/>
      <c r="CX48" s="956"/>
      <c r="CY48" s="956"/>
      <c r="CZ48" s="956"/>
    </row>
    <row r="49" spans="1:104" ht="18.75" x14ac:dyDescent="0.25">
      <c r="A49" s="90"/>
      <c r="B49" s="119" t="s">
        <v>33</v>
      </c>
      <c r="C49" s="135">
        <v>0.01</v>
      </c>
      <c r="D49" s="88">
        <f t="shared" si="33"/>
        <v>1.1046221254112047</v>
      </c>
      <c r="E49" s="97">
        <v>5016.0777159768322</v>
      </c>
      <c r="F49" s="16">
        <f>'Scenarios technology'!D203-E49</f>
        <v>0</v>
      </c>
      <c r="G49" s="126">
        <v>0.01</v>
      </c>
      <c r="H49" s="88">
        <f t="shared" si="34"/>
        <v>1.1046221254112047</v>
      </c>
      <c r="I49" s="97">
        <v>5540.87042785011</v>
      </c>
      <c r="J49" s="16">
        <f>'Scenarios technology'!D343-I49</f>
        <v>0</v>
      </c>
      <c r="K49" s="126">
        <v>5.0000000000000001E-3</v>
      </c>
      <c r="L49" s="88">
        <f t="shared" si="35"/>
        <v>1.1048955771867275</v>
      </c>
      <c r="M49" s="97">
        <v>6122.0832294963166</v>
      </c>
      <c r="N49" s="102">
        <f>'Scenarios technology'!D483-M49</f>
        <v>0</v>
      </c>
      <c r="O49" s="148">
        <f t="shared" si="36"/>
        <v>0.34818257846580525</v>
      </c>
      <c r="Q49" s="117" t="s">
        <v>64</v>
      </c>
      <c r="R49" s="87" t="s">
        <v>46</v>
      </c>
      <c r="S49" s="87" t="s">
        <v>47</v>
      </c>
      <c r="T49" s="87" t="s">
        <v>48</v>
      </c>
      <c r="U49" s="87" t="s">
        <v>50</v>
      </c>
      <c r="V49" s="7"/>
      <c r="W49" s="7"/>
      <c r="X49" s="7"/>
      <c r="Y49" s="7"/>
      <c r="Z49" s="7"/>
      <c r="AA49" s="7"/>
      <c r="AB49" s="7"/>
      <c r="AC49" s="7"/>
      <c r="AD49" s="7"/>
      <c r="AE49" s="7"/>
      <c r="AF49" s="7"/>
      <c r="AG49" s="6"/>
      <c r="AH49" s="6"/>
      <c r="AI49" s="70"/>
      <c r="AJ49" s="70"/>
      <c r="AK49" s="70"/>
      <c r="AL49" s="70"/>
      <c r="AM49" s="70"/>
      <c r="AP49" s="1674" t="str">
        <f t="shared" si="0"/>
        <v>50-200km</v>
      </c>
      <c r="AQ49" s="1696">
        <f>'Scenarios technology'!$D63</f>
        <v>4540.9897200000005</v>
      </c>
      <c r="AR49" s="1809">
        <f t="shared" si="5"/>
        <v>0.01</v>
      </c>
      <c r="AS49" s="1808">
        <f t="shared" si="6"/>
        <v>5016.0777159768322</v>
      </c>
      <c r="AT49" s="1810">
        <f t="shared" si="7"/>
        <v>0.01</v>
      </c>
      <c r="AU49" s="1677">
        <f t="shared" si="8"/>
        <v>5540.87042785011</v>
      </c>
      <c r="AV49" s="1809">
        <f t="shared" si="9"/>
        <v>5.0000000000000001E-3</v>
      </c>
      <c r="AW49" s="1678">
        <f t="shared" si="10"/>
        <v>6122.0832294963166</v>
      </c>
      <c r="AX49" s="956"/>
      <c r="AY49" s="1674" t="str">
        <f t="shared" si="37"/>
        <v>50-200km</v>
      </c>
      <c r="AZ49" s="1809">
        <f t="shared" si="38"/>
        <v>0.01</v>
      </c>
      <c r="BA49" s="1810">
        <f t="shared" si="39"/>
        <v>0.01</v>
      </c>
      <c r="BB49" s="1811">
        <f t="shared" si="40"/>
        <v>5.0000000000000001E-3</v>
      </c>
      <c r="BC49" s="956"/>
      <c r="BD49" s="1674" t="str">
        <f t="shared" si="41"/>
        <v>50-200km</v>
      </c>
      <c r="BE49" s="1675">
        <f t="shared" si="32"/>
        <v>4540.9897200000005</v>
      </c>
      <c r="BF49" s="1676">
        <f t="shared" si="42"/>
        <v>5016.0777159768322</v>
      </c>
      <c r="BG49" s="1677">
        <f t="shared" si="43"/>
        <v>5540.87042785011</v>
      </c>
      <c r="BH49" s="1676">
        <f t="shared" si="44"/>
        <v>5831.4768286732133</v>
      </c>
      <c r="BI49" s="1678">
        <f t="shared" si="45"/>
        <v>6122.0832294963166</v>
      </c>
      <c r="BJ49" s="956"/>
      <c r="BK49" s="1853" t="str">
        <f t="shared" ref="BK49:BP49" si="48">BD51</f>
        <v>International truck</v>
      </c>
      <c r="BL49" s="1676">
        <f t="shared" si="48"/>
        <v>9748.1895000000004</v>
      </c>
      <c r="BM49" s="1808">
        <f t="shared" si="48"/>
        <v>10801.240970554141</v>
      </c>
      <c r="BN49" s="1676">
        <f t="shared" si="48"/>
        <v>12124.695893490163</v>
      </c>
      <c r="BO49" s="1676">
        <f t="shared" si="48"/>
        <v>12921.265434892952</v>
      </c>
      <c r="BP49" s="1678">
        <f t="shared" si="48"/>
        <v>13717.83497629574</v>
      </c>
      <c r="BQ49" s="1854"/>
      <c r="BR49" s="956"/>
      <c r="BS49" s="956"/>
      <c r="BT49" s="956"/>
      <c r="BU49" s="956"/>
      <c r="BV49" s="956"/>
      <c r="BW49" s="956"/>
      <c r="BX49" s="956"/>
      <c r="BY49" s="956"/>
      <c r="BZ49" s="956"/>
      <c r="CA49" s="956"/>
      <c r="CB49" s="956"/>
      <c r="CC49" s="956"/>
      <c r="CD49" s="956"/>
      <c r="CE49" s="956"/>
      <c r="CF49" s="956"/>
      <c r="CG49" s="956"/>
      <c r="CH49" s="956"/>
      <c r="CI49" s="956"/>
      <c r="CJ49" s="956"/>
      <c r="CK49" s="956"/>
      <c r="CL49" s="956"/>
      <c r="CM49" s="956"/>
      <c r="CN49" s="956"/>
      <c r="CO49" s="956"/>
      <c r="CP49" s="956"/>
      <c r="CQ49" s="956"/>
      <c r="CR49" s="956"/>
      <c r="CS49" s="956"/>
      <c r="CT49" s="956"/>
      <c r="CU49" s="956"/>
      <c r="CV49" s="956"/>
      <c r="CW49" s="956"/>
      <c r="CX49" s="956"/>
      <c r="CY49" s="956"/>
      <c r="CZ49" s="956"/>
    </row>
    <row r="50" spans="1:104" ht="16.5" thickBot="1" x14ac:dyDescent="0.3">
      <c r="B50" s="119" t="s">
        <v>34</v>
      </c>
      <c r="C50" s="136">
        <v>3.6499999999999998E-2</v>
      </c>
      <c r="D50" s="88">
        <f t="shared" si="33"/>
        <v>1.4311760644171998</v>
      </c>
      <c r="E50" s="97">
        <v>6081.6770263055823</v>
      </c>
      <c r="F50" s="16">
        <f>'Scenarios technology'!D204-E50</f>
        <v>0</v>
      </c>
      <c r="G50" s="105">
        <v>3.3300000000000003E-2</v>
      </c>
      <c r="H50" s="88">
        <f t="shared" si="34"/>
        <v>1.3876000086978451</v>
      </c>
      <c r="I50" s="97">
        <v>8438.93509459911</v>
      </c>
      <c r="J50" s="16">
        <f>'Scenarios technology'!D344-I50</f>
        <v>0</v>
      </c>
      <c r="K50" s="105">
        <v>1.554E-2</v>
      </c>
      <c r="L50" s="88">
        <f t="shared" si="35"/>
        <v>1.3612587382355064</v>
      </c>
      <c r="M50" s="97">
        <v>11487.574138925318</v>
      </c>
      <c r="N50" s="102">
        <f>'Scenarios technology'!D484-M50</f>
        <v>0</v>
      </c>
      <c r="O50" s="148">
        <f t="shared" si="36"/>
        <v>1.7033236185899776</v>
      </c>
      <c r="Q50" s="122" t="s">
        <v>14</v>
      </c>
      <c r="R50" s="66" t="s">
        <v>136</v>
      </c>
      <c r="S50" s="66" t="s">
        <v>136</v>
      </c>
      <c r="T50" s="66" t="s">
        <v>136</v>
      </c>
      <c r="U50" s="66" t="s">
        <v>136</v>
      </c>
      <c r="V50" s="7"/>
      <c r="W50" s="7"/>
      <c r="X50" s="7"/>
      <c r="Y50" s="7"/>
      <c r="Z50" s="7"/>
      <c r="AA50" s="7"/>
      <c r="AB50" s="7"/>
      <c r="AC50" s="7"/>
      <c r="AD50" s="7"/>
      <c r="AE50" s="7"/>
      <c r="AF50" s="7"/>
      <c r="AG50" s="6"/>
      <c r="AH50" s="6"/>
      <c r="AI50" s="70"/>
      <c r="AJ50" s="70"/>
      <c r="AK50" s="70"/>
      <c r="AL50" s="70"/>
      <c r="AM50" s="70"/>
      <c r="AP50" s="1674" t="str">
        <f t="shared" si="0"/>
        <v>&gt;200km</v>
      </c>
      <c r="AQ50" s="1696">
        <f>'Scenarios technology'!$D64</f>
        <v>4249.4261729999998</v>
      </c>
      <c r="AR50" s="1809">
        <f t="shared" si="5"/>
        <v>3.6499999999999998E-2</v>
      </c>
      <c r="AS50" s="1808">
        <f t="shared" si="6"/>
        <v>6081.6770263055823</v>
      </c>
      <c r="AT50" s="1810">
        <f t="shared" si="7"/>
        <v>3.3300000000000003E-2</v>
      </c>
      <c r="AU50" s="1677">
        <f t="shared" si="8"/>
        <v>8438.93509459911</v>
      </c>
      <c r="AV50" s="1809">
        <f t="shared" si="9"/>
        <v>1.554E-2</v>
      </c>
      <c r="AW50" s="1678">
        <f t="shared" si="10"/>
        <v>11487.574138925318</v>
      </c>
      <c r="AX50" s="956"/>
      <c r="AY50" s="1674" t="str">
        <f t="shared" si="37"/>
        <v>&gt;200km</v>
      </c>
      <c r="AZ50" s="1809">
        <f t="shared" si="38"/>
        <v>3.6499999999999998E-2</v>
      </c>
      <c r="BA50" s="1810">
        <f t="shared" si="39"/>
        <v>3.3300000000000003E-2</v>
      </c>
      <c r="BB50" s="1811">
        <f t="shared" si="40"/>
        <v>1.554E-2</v>
      </c>
      <c r="BC50" s="956"/>
      <c r="BD50" s="1674" t="str">
        <f t="shared" si="41"/>
        <v>&gt;200km</v>
      </c>
      <c r="BE50" s="1675">
        <f t="shared" si="32"/>
        <v>4249.4261729999998</v>
      </c>
      <c r="BF50" s="1676">
        <f t="shared" si="42"/>
        <v>6081.6770263055823</v>
      </c>
      <c r="BG50" s="1677">
        <f t="shared" si="43"/>
        <v>8438.93509459911</v>
      </c>
      <c r="BH50" s="1676">
        <f t="shared" si="44"/>
        <v>9963.2546167622131</v>
      </c>
      <c r="BI50" s="1678">
        <f t="shared" si="45"/>
        <v>11487.574138925318</v>
      </c>
      <c r="BJ50" s="956"/>
      <c r="BK50" s="1853" t="str">
        <f t="shared" ref="BK50:BP50" si="49">BD58</f>
        <v xml:space="preserve">National rail </v>
      </c>
      <c r="BL50" s="1676">
        <f t="shared" si="49"/>
        <v>167</v>
      </c>
      <c r="BM50" s="1808">
        <f t="shared" si="49"/>
        <v>167</v>
      </c>
      <c r="BN50" s="1676">
        <f t="shared" si="49"/>
        <v>167</v>
      </c>
      <c r="BO50" s="1676">
        <f t="shared" si="49"/>
        <v>167</v>
      </c>
      <c r="BP50" s="1678">
        <f t="shared" si="49"/>
        <v>167</v>
      </c>
      <c r="BQ50" s="1854"/>
      <c r="BR50" s="956"/>
      <c r="BS50" s="956"/>
      <c r="BT50" s="956"/>
      <c r="BU50" s="956"/>
      <c r="BV50" s="956"/>
      <c r="BW50" s="956"/>
      <c r="BX50" s="956"/>
      <c r="BY50" s="956"/>
      <c r="BZ50" s="956"/>
      <c r="CA50" s="956"/>
      <c r="CB50" s="956"/>
      <c r="CC50" s="956"/>
      <c r="CD50" s="956"/>
      <c r="CE50" s="956"/>
      <c r="CF50" s="956"/>
      <c r="CG50" s="956"/>
      <c r="CH50" s="956"/>
      <c r="CI50" s="956"/>
      <c r="CJ50" s="956"/>
      <c r="CK50" s="956"/>
      <c r="CL50" s="956"/>
      <c r="CM50" s="956"/>
      <c r="CN50" s="956"/>
      <c r="CO50" s="956"/>
      <c r="CP50" s="956"/>
      <c r="CQ50" s="956"/>
      <c r="CR50" s="956"/>
      <c r="CS50" s="956"/>
      <c r="CT50" s="956"/>
      <c r="CU50" s="956"/>
      <c r="CV50" s="956"/>
      <c r="CW50" s="956"/>
      <c r="CX50" s="956"/>
      <c r="CY50" s="956"/>
      <c r="CZ50" s="956"/>
    </row>
    <row r="51" spans="1:104" ht="16.5" thickBot="1" x14ac:dyDescent="0.3">
      <c r="B51" s="129" t="s">
        <v>16</v>
      </c>
      <c r="C51" s="110">
        <f>('Scenarios technology'!D213/'Scenarios technology'!D73)^(1/10)-1</f>
        <v>1.0310738761621696E-2</v>
      </c>
      <c r="D51" s="110">
        <f t="shared" si="33"/>
        <v>1.1080253385055916</v>
      </c>
      <c r="E51" s="111">
        <v>10801.240970554141</v>
      </c>
      <c r="F51" s="59">
        <f>'Scenarios technology'!D213-E51</f>
        <v>0</v>
      </c>
      <c r="G51" s="109">
        <f>('Scenarios technology'!D353/'Scenarios technology'!D213)^(1/10)-1</f>
        <v>1.1625387959514732E-2</v>
      </c>
      <c r="H51" s="110">
        <f t="shared" si="34"/>
        <v>1.1225280434483376</v>
      </c>
      <c r="I51" s="111">
        <v>12124.695893490163</v>
      </c>
      <c r="J51" s="59">
        <f>'Scenarios technology'!D353-I51</f>
        <v>0</v>
      </c>
      <c r="K51" s="109">
        <f>('Scenarios technology'!D493/'Scenarios technology'!D353)^(1/20)-1</f>
        <v>6.1917125796691064E-3</v>
      </c>
      <c r="L51" s="110">
        <f t="shared" si="35"/>
        <v>1.1313962095874883</v>
      </c>
      <c r="M51" s="111">
        <v>13717.83497629574</v>
      </c>
      <c r="N51" s="112">
        <f>'Scenarios technology'!D493-M51</f>
        <v>0</v>
      </c>
      <c r="O51" s="147">
        <f t="shared" si="36"/>
        <v>0.40721874316207862</v>
      </c>
      <c r="Q51" s="118" t="s">
        <v>207</v>
      </c>
      <c r="R51" s="1584">
        <v>0</v>
      </c>
      <c r="S51" s="1585">
        <v>0</v>
      </c>
      <c r="T51" s="1586">
        <v>0</v>
      </c>
      <c r="U51" s="220">
        <f>1-('Scenarios technology'!D483/('Scenarios technology'!D63*('Growth, Modal Shift, InfraCosts'!O49+1)))</f>
        <v>0</v>
      </c>
      <c r="V51" s="7"/>
      <c r="W51" s="7"/>
      <c r="X51" s="7"/>
      <c r="Y51" s="7"/>
      <c r="Z51" s="7"/>
      <c r="AA51" s="7"/>
      <c r="AB51" s="7"/>
      <c r="AC51" s="7"/>
      <c r="AD51" s="7"/>
      <c r="AE51" s="7"/>
      <c r="AF51" s="7"/>
      <c r="AG51" s="6"/>
      <c r="AH51" s="6"/>
      <c r="AI51" s="70"/>
      <c r="AJ51" s="70"/>
      <c r="AK51" s="70"/>
      <c r="AL51" s="70"/>
      <c r="AM51" s="70"/>
      <c r="AP51" s="1695" t="str">
        <f t="shared" si="0"/>
        <v>International truck</v>
      </c>
      <c r="AQ51" s="1696">
        <f>'Scenarios technology'!$D73</f>
        <v>9748.1895000000004</v>
      </c>
      <c r="AR51" s="1823">
        <f t="shared" si="5"/>
        <v>1.0310738761621696E-2</v>
      </c>
      <c r="AS51" s="1824">
        <f t="shared" si="6"/>
        <v>10801.240970554141</v>
      </c>
      <c r="AT51" s="1825">
        <f t="shared" si="7"/>
        <v>1.1625387959514732E-2</v>
      </c>
      <c r="AU51" s="1698">
        <f t="shared" si="8"/>
        <v>12124.695893490163</v>
      </c>
      <c r="AV51" s="1823">
        <f t="shared" si="9"/>
        <v>6.1917125796691064E-3</v>
      </c>
      <c r="AW51" s="1699">
        <f t="shared" si="10"/>
        <v>13717.83497629574</v>
      </c>
      <c r="AX51" s="956"/>
      <c r="AY51" s="1695" t="str">
        <f t="shared" si="37"/>
        <v>International truck</v>
      </c>
      <c r="AZ51" s="1823">
        <f t="shared" si="38"/>
        <v>1.0310738761621696E-2</v>
      </c>
      <c r="BA51" s="1825">
        <f t="shared" si="39"/>
        <v>1.1625387959514732E-2</v>
      </c>
      <c r="BB51" s="1826">
        <f t="shared" si="40"/>
        <v>6.1917125796691064E-3</v>
      </c>
      <c r="BC51" s="956"/>
      <c r="BD51" s="1695" t="str">
        <f t="shared" si="41"/>
        <v>International truck</v>
      </c>
      <c r="BE51" s="1696">
        <f t="shared" si="32"/>
        <v>9748.1895000000004</v>
      </c>
      <c r="BF51" s="1697">
        <f t="shared" si="42"/>
        <v>10801.240970554141</v>
      </c>
      <c r="BG51" s="1698">
        <f t="shared" si="43"/>
        <v>12124.695893490163</v>
      </c>
      <c r="BH51" s="1697">
        <f t="shared" si="44"/>
        <v>12921.265434892952</v>
      </c>
      <c r="BI51" s="1699">
        <f t="shared" si="45"/>
        <v>13717.83497629574</v>
      </c>
      <c r="BJ51" s="956"/>
      <c r="BK51" s="1853" t="str">
        <f t="shared" ref="BK51:BP55" si="50">BD61</f>
        <v>International rail (electricity)</v>
      </c>
      <c r="BL51" s="1676">
        <f t="shared" si="50"/>
        <v>378</v>
      </c>
      <c r="BM51" s="1808">
        <f t="shared" si="50"/>
        <v>474.51302390573898</v>
      </c>
      <c r="BN51" s="1676">
        <f t="shared" si="50"/>
        <v>595.66828004277352</v>
      </c>
      <c r="BO51" s="1676">
        <f t="shared" si="50"/>
        <v>672.19653805705002</v>
      </c>
      <c r="BP51" s="1678">
        <f t="shared" si="50"/>
        <v>748.72479607132652</v>
      </c>
      <c r="BQ51" s="1854"/>
      <c r="BR51" s="956"/>
      <c r="BS51" s="956"/>
      <c r="BT51" s="956"/>
      <c r="BU51" s="956"/>
      <c r="BV51" s="956"/>
      <c r="BW51" s="956"/>
      <c r="BX51" s="956"/>
      <c r="BY51" s="956"/>
      <c r="BZ51" s="956"/>
      <c r="CA51" s="956"/>
      <c r="CB51" s="956"/>
      <c r="CC51" s="956"/>
      <c r="CD51" s="956"/>
      <c r="CE51" s="956"/>
      <c r="CF51" s="956"/>
      <c r="CG51" s="956"/>
      <c r="CH51" s="956"/>
      <c r="CI51" s="956"/>
      <c r="CJ51" s="956"/>
      <c r="CK51" s="956"/>
      <c r="CL51" s="956"/>
      <c r="CM51" s="956"/>
      <c r="CN51" s="956"/>
      <c r="CO51" s="956"/>
      <c r="CP51" s="956"/>
      <c r="CQ51" s="956"/>
      <c r="CR51" s="956"/>
      <c r="CS51" s="956"/>
      <c r="CT51" s="956"/>
      <c r="CU51" s="956"/>
      <c r="CV51" s="956"/>
      <c r="CW51" s="956"/>
      <c r="CX51" s="956"/>
      <c r="CY51" s="956"/>
      <c r="CZ51" s="956"/>
    </row>
    <row r="52" spans="1:104" ht="15.75" x14ac:dyDescent="0.25">
      <c r="B52" s="119" t="s">
        <v>318</v>
      </c>
      <c r="C52" s="134">
        <v>0</v>
      </c>
      <c r="D52" s="88">
        <f t="shared" si="33"/>
        <v>1</v>
      </c>
      <c r="E52" s="97">
        <v>486.43465605</v>
      </c>
      <c r="F52" s="16">
        <f>'Scenarios technology'!D214-E52</f>
        <v>0</v>
      </c>
      <c r="G52" s="104">
        <v>0</v>
      </c>
      <c r="H52" s="88">
        <f t="shared" si="34"/>
        <v>1</v>
      </c>
      <c r="I52" s="97">
        <v>486.43465605</v>
      </c>
      <c r="J52" s="16">
        <f>'Scenarios technology'!D354-I52</f>
        <v>0</v>
      </c>
      <c r="K52" s="104">
        <v>0</v>
      </c>
      <c r="L52" s="88">
        <f t="shared" si="35"/>
        <v>1</v>
      </c>
      <c r="M52" s="97">
        <v>486.43465605</v>
      </c>
      <c r="N52" s="102">
        <f>'Scenarios technology'!D494-M52</f>
        <v>0</v>
      </c>
      <c r="O52" s="148">
        <f t="shared" si="36"/>
        <v>0</v>
      </c>
      <c r="Q52" s="118" t="s">
        <v>208</v>
      </c>
      <c r="R52" s="1587">
        <v>0</v>
      </c>
      <c r="S52" s="1588">
        <v>0</v>
      </c>
      <c r="T52" s="1589">
        <v>0</v>
      </c>
      <c r="U52" s="124">
        <f>1-('Scenarios technology'!D484/('Scenarios technology'!D64*('Growth, Modal Shift, InfraCosts'!O50+1)))</f>
        <v>0</v>
      </c>
      <c r="V52" s="7"/>
      <c r="W52" s="7"/>
      <c r="X52" s="7"/>
      <c r="Y52" s="7"/>
      <c r="Z52" s="7"/>
      <c r="AA52" s="7"/>
      <c r="AB52" s="7"/>
      <c r="AC52" s="7"/>
      <c r="AD52" s="7"/>
      <c r="AE52" s="7"/>
      <c r="AF52" s="7"/>
      <c r="AG52" s="6"/>
      <c r="AH52" s="6"/>
      <c r="AI52" s="70"/>
      <c r="AJ52" s="70"/>
      <c r="AK52" s="70"/>
      <c r="AL52" s="70"/>
      <c r="AM52" s="70"/>
      <c r="AP52" s="1674" t="str">
        <f t="shared" si="0"/>
        <v>&lt;250km</v>
      </c>
      <c r="AQ52" s="1696">
        <f>'Scenarios technology'!$D74</f>
        <v>486.43465605</v>
      </c>
      <c r="AR52" s="1809">
        <f t="shared" si="5"/>
        <v>0</v>
      </c>
      <c r="AS52" s="1808">
        <f t="shared" si="6"/>
        <v>486.43465605</v>
      </c>
      <c r="AT52" s="1810">
        <f t="shared" si="7"/>
        <v>0</v>
      </c>
      <c r="AU52" s="1677">
        <f t="shared" si="8"/>
        <v>486.43465605</v>
      </c>
      <c r="AV52" s="1809">
        <f t="shared" si="9"/>
        <v>0</v>
      </c>
      <c r="AW52" s="1678">
        <f t="shared" si="10"/>
        <v>486.43465605</v>
      </c>
      <c r="AX52" s="956"/>
      <c r="AY52" s="1674" t="str">
        <f t="shared" si="37"/>
        <v>&lt;250km</v>
      </c>
      <c r="AZ52" s="1809">
        <f t="shared" si="38"/>
        <v>0</v>
      </c>
      <c r="BA52" s="1810">
        <f t="shared" si="39"/>
        <v>0</v>
      </c>
      <c r="BB52" s="1811">
        <f t="shared" si="40"/>
        <v>0</v>
      </c>
      <c r="BC52" s="956"/>
      <c r="BD52" s="1674" t="str">
        <f t="shared" si="41"/>
        <v>&lt;250km</v>
      </c>
      <c r="BE52" s="1675">
        <f t="shared" si="32"/>
        <v>486.43465605</v>
      </c>
      <c r="BF52" s="1676">
        <f t="shared" si="42"/>
        <v>486.43465605</v>
      </c>
      <c r="BG52" s="1677">
        <f t="shared" si="43"/>
        <v>486.43465605</v>
      </c>
      <c r="BH52" s="1676">
        <f t="shared" si="44"/>
        <v>486.43465605</v>
      </c>
      <c r="BI52" s="1678">
        <f t="shared" si="45"/>
        <v>486.43465605</v>
      </c>
      <c r="BJ52" s="956"/>
      <c r="BK52" s="1853" t="str">
        <f t="shared" si="50"/>
        <v>National cargo air</v>
      </c>
      <c r="BL52" s="1676">
        <f t="shared" si="50"/>
        <v>1.107</v>
      </c>
      <c r="BM52" s="1808">
        <f t="shared" si="50"/>
        <v>1.107</v>
      </c>
      <c r="BN52" s="1676">
        <f t="shared" si="50"/>
        <v>1.107</v>
      </c>
      <c r="BO52" s="1676">
        <f t="shared" si="50"/>
        <v>1.107</v>
      </c>
      <c r="BP52" s="1678">
        <f t="shared" si="50"/>
        <v>1.107</v>
      </c>
      <c r="BQ52" s="1854"/>
      <c r="BR52" s="956"/>
      <c r="BS52" s="956"/>
      <c r="BT52" s="956"/>
      <c r="BU52" s="956"/>
      <c r="BV52" s="956"/>
      <c r="BW52" s="956"/>
      <c r="BX52" s="956"/>
      <c r="BY52" s="956"/>
      <c r="BZ52" s="956"/>
      <c r="CA52" s="956"/>
      <c r="CB52" s="956"/>
      <c r="CC52" s="956"/>
      <c r="CD52" s="956"/>
      <c r="CE52" s="956"/>
      <c r="CF52" s="956"/>
      <c r="CG52" s="956"/>
      <c r="CH52" s="956"/>
      <c r="CI52" s="956"/>
      <c r="CJ52" s="956"/>
      <c r="CK52" s="956"/>
      <c r="CL52" s="956"/>
      <c r="CM52" s="956"/>
      <c r="CN52" s="956"/>
      <c r="CO52" s="956"/>
      <c r="CP52" s="956"/>
      <c r="CQ52" s="956"/>
      <c r="CR52" s="956"/>
      <c r="CS52" s="956"/>
      <c r="CT52" s="956"/>
      <c r="CU52" s="956"/>
      <c r="CV52" s="956"/>
      <c r="CW52" s="956"/>
      <c r="CX52" s="956"/>
      <c r="CY52" s="956"/>
      <c r="CZ52" s="956"/>
    </row>
    <row r="53" spans="1:104" ht="16.5" thickBot="1" x14ac:dyDescent="0.3">
      <c r="B53" s="119" t="s">
        <v>319</v>
      </c>
      <c r="C53" s="135">
        <v>0</v>
      </c>
      <c r="D53" s="88">
        <f t="shared" si="33"/>
        <v>1</v>
      </c>
      <c r="E53" s="97">
        <v>5253.299321550001</v>
      </c>
      <c r="F53" s="16">
        <f>'Scenarios technology'!D215-E53</f>
        <v>0</v>
      </c>
      <c r="G53" s="126">
        <v>0</v>
      </c>
      <c r="H53" s="88">
        <f t="shared" si="34"/>
        <v>1</v>
      </c>
      <c r="I53" s="97">
        <v>5253.299321550001</v>
      </c>
      <c r="J53" s="16">
        <f>'Scenarios technology'!D355-I53</f>
        <v>0</v>
      </c>
      <c r="K53" s="126">
        <v>0</v>
      </c>
      <c r="L53" s="88">
        <f t="shared" si="35"/>
        <v>1</v>
      </c>
      <c r="M53" s="97">
        <v>5253.299321550001</v>
      </c>
      <c r="N53" s="102">
        <f>'Scenarios technology'!D495-M53</f>
        <v>0</v>
      </c>
      <c r="O53" s="148">
        <f t="shared" si="36"/>
        <v>0</v>
      </c>
      <c r="Q53" s="123" t="s">
        <v>209</v>
      </c>
      <c r="R53" s="1590">
        <v>0</v>
      </c>
      <c r="S53" s="1591">
        <v>0</v>
      </c>
      <c r="T53" s="1592">
        <v>0</v>
      </c>
      <c r="U53" s="125">
        <f>1-'Scenarios technology'!D496/('Scenarios technology'!D76*('Growth, Modal Shift, InfraCosts'!O54+1))</f>
        <v>0</v>
      </c>
      <c r="V53" s="7"/>
      <c r="W53" s="7"/>
      <c r="X53" s="7"/>
      <c r="Y53" s="7"/>
      <c r="Z53" s="7"/>
      <c r="AA53" s="7"/>
      <c r="AB53" s="7"/>
      <c r="AC53" s="7"/>
      <c r="AD53" s="7"/>
      <c r="AE53" s="7"/>
      <c r="AF53" s="7"/>
      <c r="AG53" s="6"/>
      <c r="AH53" s="6"/>
      <c r="AI53" s="70"/>
      <c r="AJ53" s="70"/>
      <c r="AK53" s="70"/>
      <c r="AL53" s="70"/>
      <c r="AM53" s="70"/>
      <c r="AP53" s="1674" t="str">
        <f t="shared" si="0"/>
        <v>250-1000km</v>
      </c>
      <c r="AQ53" s="1696">
        <f>'Scenarios technology'!$D75</f>
        <v>5253.299321550001</v>
      </c>
      <c r="AR53" s="1809">
        <f t="shared" si="5"/>
        <v>0</v>
      </c>
      <c r="AS53" s="1808">
        <f t="shared" si="6"/>
        <v>5253.299321550001</v>
      </c>
      <c r="AT53" s="1810">
        <f t="shared" si="7"/>
        <v>0</v>
      </c>
      <c r="AU53" s="1677">
        <f t="shared" si="8"/>
        <v>5253.299321550001</v>
      </c>
      <c r="AV53" s="1809">
        <f t="shared" si="9"/>
        <v>0</v>
      </c>
      <c r="AW53" s="1678">
        <f t="shared" si="10"/>
        <v>5253.299321550001</v>
      </c>
      <c r="AX53" s="956"/>
      <c r="AY53" s="1674" t="str">
        <f t="shared" si="37"/>
        <v>250-1000km</v>
      </c>
      <c r="AZ53" s="1809">
        <f t="shared" si="38"/>
        <v>0</v>
      </c>
      <c r="BA53" s="1810">
        <f t="shared" si="39"/>
        <v>0</v>
      </c>
      <c r="BB53" s="1811">
        <f t="shared" si="40"/>
        <v>0</v>
      </c>
      <c r="BC53" s="956"/>
      <c r="BD53" s="1674" t="str">
        <f t="shared" si="41"/>
        <v>250-1000km</v>
      </c>
      <c r="BE53" s="1675">
        <f t="shared" si="32"/>
        <v>5253.299321550001</v>
      </c>
      <c r="BF53" s="1676">
        <f t="shared" si="42"/>
        <v>5253.299321550001</v>
      </c>
      <c r="BG53" s="1677">
        <f t="shared" si="43"/>
        <v>5253.299321550001</v>
      </c>
      <c r="BH53" s="1676">
        <f t="shared" si="44"/>
        <v>5253.299321550001</v>
      </c>
      <c r="BI53" s="1678">
        <f t="shared" si="45"/>
        <v>5253.299321550001</v>
      </c>
      <c r="BJ53" s="956"/>
      <c r="BK53" s="1853" t="str">
        <f t="shared" si="50"/>
        <v>Internationa cargo air</v>
      </c>
      <c r="BL53" s="1676">
        <f t="shared" si="50"/>
        <v>588</v>
      </c>
      <c r="BM53" s="1808">
        <f t="shared" si="50"/>
        <v>738.13137052003844</v>
      </c>
      <c r="BN53" s="1676">
        <f t="shared" si="50"/>
        <v>926.59510228875888</v>
      </c>
      <c r="BO53" s="1676">
        <f t="shared" si="50"/>
        <v>1045.6390591998556</v>
      </c>
      <c r="BP53" s="1678">
        <f t="shared" si="50"/>
        <v>1164.6830161109524</v>
      </c>
      <c r="BQ53" s="1854"/>
      <c r="BR53" s="956"/>
      <c r="BS53" s="956"/>
      <c r="BT53" s="956"/>
      <c r="BU53" s="956"/>
      <c r="BV53" s="956"/>
      <c r="BW53" s="956"/>
      <c r="BX53" s="956"/>
      <c r="BY53" s="956"/>
      <c r="BZ53" s="956"/>
      <c r="CA53" s="956"/>
      <c r="CB53" s="956"/>
      <c r="CC53" s="956"/>
      <c r="CD53" s="956"/>
      <c r="CE53" s="956"/>
      <c r="CF53" s="956"/>
      <c r="CG53" s="956"/>
      <c r="CH53" s="956"/>
      <c r="CI53" s="956"/>
      <c r="CJ53" s="956"/>
      <c r="CK53" s="956"/>
      <c r="CL53" s="956"/>
      <c r="CM53" s="956"/>
      <c r="CN53" s="956"/>
      <c r="CO53" s="956"/>
      <c r="CP53" s="956"/>
      <c r="CQ53" s="956"/>
      <c r="CR53" s="956"/>
      <c r="CS53" s="956"/>
      <c r="CT53" s="956"/>
      <c r="CU53" s="956"/>
      <c r="CV53" s="956"/>
      <c r="CW53" s="956"/>
      <c r="CX53" s="956"/>
      <c r="CY53" s="956"/>
      <c r="CZ53" s="956"/>
    </row>
    <row r="54" spans="1:104" ht="16.5" thickBot="1" x14ac:dyDescent="0.3">
      <c r="B54" s="119" t="s">
        <v>320</v>
      </c>
      <c r="C54" s="136">
        <v>2.3599999999999999E-2</v>
      </c>
      <c r="D54" s="88">
        <f t="shared" si="33"/>
        <v>1.2627075352762409</v>
      </c>
      <c r="E54" s="97">
        <v>5061.5069929541405</v>
      </c>
      <c r="F54" s="16">
        <f>'Scenarios technology'!D216-E54</f>
        <v>0</v>
      </c>
      <c r="G54" s="105">
        <v>2.35E-2</v>
      </c>
      <c r="H54" s="88">
        <f t="shared" si="34"/>
        <v>1.2614744827535229</v>
      </c>
      <c r="I54" s="97">
        <v>6384.9619158901633</v>
      </c>
      <c r="J54" s="16">
        <f>'Scenarios technology'!D356-I54</f>
        <v>0</v>
      </c>
      <c r="K54" s="105">
        <v>1.12E-2</v>
      </c>
      <c r="L54" s="88">
        <f t="shared" si="35"/>
        <v>1.2495142655182883</v>
      </c>
      <c r="M54" s="97">
        <v>7978.1009986957397</v>
      </c>
      <c r="N54" s="102">
        <f>'Scenarios technology'!D496-M54</f>
        <v>0</v>
      </c>
      <c r="O54" s="148">
        <f t="shared" si="36"/>
        <v>0.99031795516068932</v>
      </c>
      <c r="Q54" s="6"/>
      <c r="R54" s="6"/>
      <c r="S54" s="6"/>
      <c r="T54" s="6"/>
      <c r="U54" s="6"/>
      <c r="V54" s="7"/>
      <c r="W54" s="7"/>
      <c r="X54" s="7"/>
      <c r="Y54" s="7"/>
      <c r="Z54" s="7"/>
      <c r="AA54" s="7"/>
      <c r="AB54" s="7"/>
      <c r="AC54" s="7"/>
      <c r="AD54" s="7"/>
      <c r="AE54" s="7"/>
      <c r="AF54" s="7"/>
      <c r="AG54" s="6"/>
      <c r="AH54" s="6"/>
      <c r="AI54" s="70"/>
      <c r="AJ54" s="70"/>
      <c r="AK54" s="70"/>
      <c r="AL54" s="70"/>
      <c r="AM54" s="70"/>
      <c r="AP54" s="1674" t="str">
        <f t="shared" si="0"/>
        <v>&gt;1000km</v>
      </c>
      <c r="AQ54" s="1696">
        <f>'Scenarios technology'!$D76</f>
        <v>4008.4555224000001</v>
      </c>
      <c r="AR54" s="1809">
        <f t="shared" si="5"/>
        <v>2.3599999999999999E-2</v>
      </c>
      <c r="AS54" s="1808">
        <f t="shared" si="6"/>
        <v>5061.5069929541405</v>
      </c>
      <c r="AT54" s="1810">
        <f t="shared" si="7"/>
        <v>2.35E-2</v>
      </c>
      <c r="AU54" s="1677">
        <f t="shared" si="8"/>
        <v>6384.9619158901633</v>
      </c>
      <c r="AV54" s="1809">
        <f t="shared" si="9"/>
        <v>1.12E-2</v>
      </c>
      <c r="AW54" s="1678">
        <f t="shared" si="10"/>
        <v>7978.1009986957397</v>
      </c>
      <c r="AX54" s="956"/>
      <c r="AY54" s="1674" t="str">
        <f t="shared" si="37"/>
        <v>&gt;1000km</v>
      </c>
      <c r="AZ54" s="1809">
        <f t="shared" si="38"/>
        <v>2.3599999999999999E-2</v>
      </c>
      <c r="BA54" s="1810">
        <f t="shared" si="39"/>
        <v>2.35E-2</v>
      </c>
      <c r="BB54" s="1811">
        <f t="shared" si="40"/>
        <v>1.12E-2</v>
      </c>
      <c r="BC54" s="956"/>
      <c r="BD54" s="1674" t="str">
        <f t="shared" si="41"/>
        <v>&gt;1000km</v>
      </c>
      <c r="BE54" s="1675">
        <f t="shared" si="32"/>
        <v>4008.4555224000001</v>
      </c>
      <c r="BF54" s="1676">
        <f t="shared" si="42"/>
        <v>5061.5069929541405</v>
      </c>
      <c r="BG54" s="1677">
        <f t="shared" si="43"/>
        <v>6384.9619158901633</v>
      </c>
      <c r="BH54" s="1676">
        <f t="shared" si="44"/>
        <v>7181.531457292951</v>
      </c>
      <c r="BI54" s="1678">
        <f t="shared" si="45"/>
        <v>7978.1009986957397</v>
      </c>
      <c r="BJ54" s="956"/>
      <c r="BK54" s="1853" t="str">
        <f t="shared" si="50"/>
        <v>National cargo sea</v>
      </c>
      <c r="BL54" s="1676">
        <f t="shared" si="50"/>
        <v>2073</v>
      </c>
      <c r="BM54" s="1808">
        <f t="shared" si="50"/>
        <v>2278.5708383888164</v>
      </c>
      <c r="BN54" s="1676">
        <f t="shared" si="50"/>
        <v>2504.5272868094135</v>
      </c>
      <c r="BO54" s="1676">
        <f t="shared" si="50"/>
        <v>2629.0167632501516</v>
      </c>
      <c r="BP54" s="1678">
        <f t="shared" si="50"/>
        <v>2753.5062396908893</v>
      </c>
      <c r="BQ54" s="1854"/>
      <c r="BR54" s="956"/>
      <c r="BS54" s="956"/>
      <c r="BT54" s="956"/>
      <c r="BU54" s="956"/>
      <c r="BV54" s="956"/>
      <c r="BW54" s="956"/>
      <c r="BX54" s="956"/>
      <c r="BY54" s="956"/>
      <c r="BZ54" s="956"/>
      <c r="CA54" s="956"/>
      <c r="CB54" s="956"/>
      <c r="CC54" s="956"/>
      <c r="CD54" s="956"/>
      <c r="CE54" s="956"/>
      <c r="CF54" s="956"/>
      <c r="CG54" s="956"/>
      <c r="CH54" s="956"/>
      <c r="CI54" s="956"/>
      <c r="CJ54" s="956"/>
      <c r="CK54" s="956"/>
      <c r="CL54" s="956"/>
      <c r="CM54" s="956"/>
      <c r="CN54" s="956"/>
      <c r="CO54" s="956"/>
      <c r="CP54" s="956"/>
      <c r="CQ54" s="956"/>
      <c r="CR54" s="956"/>
      <c r="CS54" s="956"/>
      <c r="CT54" s="956"/>
      <c r="CU54" s="956"/>
      <c r="CV54" s="956"/>
      <c r="CW54" s="956"/>
      <c r="CX54" s="956"/>
      <c r="CY54" s="956"/>
      <c r="CZ54" s="956"/>
    </row>
    <row r="55" spans="1:104" ht="16.5" thickBot="1" x14ac:dyDescent="0.3">
      <c r="B55" s="129" t="s">
        <v>18</v>
      </c>
      <c r="C55" s="110">
        <f>('Scenarios technology'!D225/'Scenarios technology'!D85)^(1/10)-1</f>
        <v>2.200000000000002E-2</v>
      </c>
      <c r="D55" s="110">
        <f t="shared" si="33"/>
        <v>1.2431082765868484</v>
      </c>
      <c r="E55" s="111">
        <v>5042.6687239745506</v>
      </c>
      <c r="F55" s="59">
        <f>'Scenarios technology'!D225-E55</f>
        <v>0</v>
      </c>
      <c r="G55" s="109">
        <f>('Scenarios technology'!D365/'Scenarios technology'!D225)^(1/10)-1</f>
        <v>2.200000000000002E-2</v>
      </c>
      <c r="H55" s="110">
        <f t="shared" si="34"/>
        <v>1.2431082765868484</v>
      </c>
      <c r="I55" s="111">
        <v>6268.5832268584054</v>
      </c>
      <c r="J55" s="59">
        <f>'Scenarios technology'!D365-I55</f>
        <v>0</v>
      </c>
      <c r="K55" s="109">
        <f>('Scenarios technology'!D505/'Scenarios technology'!D365)^(1/20)-1</f>
        <v>1.0999999999999899E-2</v>
      </c>
      <c r="L55" s="110">
        <f t="shared" si="35"/>
        <v>1.2445808427834559</v>
      </c>
      <c r="M55" s="111">
        <v>7801.7585955416707</v>
      </c>
      <c r="N55" s="112">
        <f>'Scenarios technology'!D505-M55</f>
        <v>0</v>
      </c>
      <c r="O55" s="147">
        <f t="shared" si="36"/>
        <v>0.92327341194174051</v>
      </c>
      <c r="Q55" s="6"/>
      <c r="R55" s="6"/>
      <c r="S55" s="6"/>
      <c r="T55" s="6"/>
      <c r="U55" s="6"/>
      <c r="V55" s="35"/>
      <c r="W55" s="35"/>
      <c r="X55" s="35"/>
      <c r="Y55" s="35"/>
      <c r="Z55" s="35"/>
      <c r="AA55" s="35"/>
      <c r="AB55" s="35"/>
      <c r="AC55" s="35"/>
      <c r="AD55" s="35"/>
      <c r="AE55" s="35"/>
      <c r="AF55" s="35"/>
      <c r="AG55" s="6"/>
      <c r="AH55" s="6"/>
      <c r="AI55" s="70"/>
      <c r="AJ55" s="70"/>
      <c r="AK55" s="70"/>
      <c r="AL55" s="70"/>
      <c r="AM55" s="70"/>
      <c r="AP55" s="1695" t="str">
        <f t="shared" si="0"/>
        <v>Vans (2-6 t)</v>
      </c>
      <c r="AQ55" s="1696">
        <f>'Scenarios technology'!$D85</f>
        <v>4056.5</v>
      </c>
      <c r="AR55" s="1823">
        <f t="shared" si="5"/>
        <v>2.200000000000002E-2</v>
      </c>
      <c r="AS55" s="1824">
        <f t="shared" si="6"/>
        <v>5042.6687239745506</v>
      </c>
      <c r="AT55" s="1825">
        <f t="shared" si="7"/>
        <v>2.200000000000002E-2</v>
      </c>
      <c r="AU55" s="1698">
        <f t="shared" si="8"/>
        <v>6268.5832268584054</v>
      </c>
      <c r="AV55" s="1823">
        <f t="shared" si="9"/>
        <v>1.0999999999999899E-2</v>
      </c>
      <c r="AW55" s="1699">
        <f t="shared" si="10"/>
        <v>7801.7585955416707</v>
      </c>
      <c r="AX55" s="956"/>
      <c r="AY55" s="1695" t="str">
        <f t="shared" si="37"/>
        <v>Vans (2-6 t)</v>
      </c>
      <c r="AZ55" s="1823">
        <f t="shared" si="38"/>
        <v>2.200000000000002E-2</v>
      </c>
      <c r="BA55" s="1825">
        <f t="shared" si="39"/>
        <v>2.200000000000002E-2</v>
      </c>
      <c r="BB55" s="1826">
        <f t="shared" si="40"/>
        <v>1.0999999999999899E-2</v>
      </c>
      <c r="BC55" s="956"/>
      <c r="BD55" s="1695" t="str">
        <f t="shared" si="41"/>
        <v>Vans (2-6 t)</v>
      </c>
      <c r="BE55" s="1696">
        <f t="shared" si="32"/>
        <v>4056.5</v>
      </c>
      <c r="BF55" s="1697">
        <f t="shared" si="42"/>
        <v>5042.6687239745506</v>
      </c>
      <c r="BG55" s="1698">
        <f t="shared" si="43"/>
        <v>6268.5832268584054</v>
      </c>
      <c r="BH55" s="1697">
        <f t="shared" si="44"/>
        <v>7035.1709112000381</v>
      </c>
      <c r="BI55" s="1699">
        <f t="shared" si="45"/>
        <v>7801.7585955416707</v>
      </c>
      <c r="BJ55" s="956"/>
      <c r="BK55" s="1855" t="str">
        <f t="shared" si="50"/>
        <v>International cargo sea</v>
      </c>
      <c r="BL55" s="1814">
        <f t="shared" si="50"/>
        <v>59694</v>
      </c>
      <c r="BM55" s="1813">
        <f t="shared" si="50"/>
        <v>74935.398013304715</v>
      </c>
      <c r="BN55" s="1814">
        <f t="shared" si="50"/>
        <v>94068.312986437362</v>
      </c>
      <c r="BO55" s="1814">
        <f t="shared" si="50"/>
        <v>106153.70408142207</v>
      </c>
      <c r="BP55" s="1815">
        <f t="shared" si="50"/>
        <v>118239.09517640679</v>
      </c>
      <c r="BQ55" s="1854"/>
      <c r="BR55" s="956"/>
      <c r="BS55" s="956"/>
      <c r="BT55" s="956"/>
      <c r="BU55" s="956"/>
      <c r="BV55" s="956"/>
      <c r="BW55" s="956"/>
      <c r="BX55" s="956"/>
      <c r="BY55" s="956"/>
      <c r="BZ55" s="956"/>
      <c r="CA55" s="956"/>
      <c r="CB55" s="956"/>
      <c r="CC55" s="956"/>
      <c r="CD55" s="956"/>
      <c r="CE55" s="956"/>
      <c r="CF55" s="956"/>
      <c r="CG55" s="956"/>
      <c r="CH55" s="956"/>
      <c r="CI55" s="956"/>
      <c r="CJ55" s="956"/>
      <c r="CK55" s="956"/>
      <c r="CL55" s="956"/>
      <c r="CM55" s="956"/>
      <c r="CN55" s="956"/>
      <c r="CO55" s="956"/>
      <c r="CP55" s="956"/>
      <c r="CQ55" s="956"/>
      <c r="CR55" s="956"/>
      <c r="CS55" s="956"/>
      <c r="CT55" s="956"/>
      <c r="CU55" s="956"/>
      <c r="CV55" s="956"/>
      <c r="CW55" s="956"/>
      <c r="CX55" s="956"/>
      <c r="CY55" s="956"/>
      <c r="CZ55" s="956"/>
    </row>
    <row r="56" spans="1:104" ht="17.25" thickTop="1" thickBot="1" x14ac:dyDescent="0.3">
      <c r="B56" s="119" t="s">
        <v>32</v>
      </c>
      <c r="C56" s="134">
        <v>2.1999999999999999E-2</v>
      </c>
      <c r="D56" s="88">
        <f t="shared" si="33"/>
        <v>1.2431082765868484</v>
      </c>
      <c r="E56" s="97">
        <v>1707.9518968101802</v>
      </c>
      <c r="F56" s="16">
        <f>'Scenarios technology'!D226-E56</f>
        <v>0</v>
      </c>
      <c r="G56" s="104">
        <v>2.1999999999999999E-2</v>
      </c>
      <c r="H56" s="88">
        <f t="shared" si="34"/>
        <v>1.2431082765868484</v>
      </c>
      <c r="I56" s="97">
        <v>2123.1691389369416</v>
      </c>
      <c r="J56" s="16">
        <f>'Scenarios technology'!D366-I56</f>
        <v>0</v>
      </c>
      <c r="K56" s="104">
        <v>1.0999999999999999E-2</v>
      </c>
      <c r="L56" s="88">
        <f t="shared" si="35"/>
        <v>1.2445808427834559</v>
      </c>
      <c r="M56" s="97">
        <v>2642.4556363099632</v>
      </c>
      <c r="N56" s="102">
        <f>'Scenarios technology'!D506-M56</f>
        <v>0</v>
      </c>
      <c r="O56" s="148">
        <f t="shared" si="36"/>
        <v>0.92327341194174051</v>
      </c>
      <c r="Q56" s="18" t="s">
        <v>137</v>
      </c>
      <c r="R56" s="37">
        <v>2010</v>
      </c>
      <c r="S56" s="37">
        <v>2020</v>
      </c>
      <c r="T56" s="37">
        <v>2030</v>
      </c>
      <c r="U56" s="38">
        <v>2050</v>
      </c>
      <c r="V56" s="7"/>
      <c r="W56" s="7"/>
      <c r="X56" s="7"/>
      <c r="Y56" s="901"/>
      <c r="Z56" s="7"/>
      <c r="AA56" s="7"/>
      <c r="AB56" s="7"/>
      <c r="AC56" s="7"/>
      <c r="AD56" s="7"/>
      <c r="AE56" s="7"/>
      <c r="AF56" s="7"/>
      <c r="AG56" s="6"/>
      <c r="AH56" s="6"/>
      <c r="AI56" s="70"/>
      <c r="AJ56" s="70"/>
      <c r="AK56" s="70"/>
      <c r="AL56" s="70"/>
      <c r="AM56" s="70"/>
      <c r="AP56" s="1674" t="str">
        <f t="shared" si="0"/>
        <v>&lt;50km</v>
      </c>
      <c r="AQ56" s="1696">
        <f>'Scenarios technology'!$D86</f>
        <v>1373.9365499999999</v>
      </c>
      <c r="AR56" s="1809">
        <f t="shared" si="5"/>
        <v>2.1999999999999999E-2</v>
      </c>
      <c r="AS56" s="1808">
        <f t="shared" si="6"/>
        <v>1707.9518968101802</v>
      </c>
      <c r="AT56" s="1810">
        <f t="shared" si="7"/>
        <v>2.1999999999999999E-2</v>
      </c>
      <c r="AU56" s="1677">
        <f t="shared" si="8"/>
        <v>2123.1691389369416</v>
      </c>
      <c r="AV56" s="1809">
        <f t="shared" si="9"/>
        <v>1.0999999999999999E-2</v>
      </c>
      <c r="AW56" s="1678">
        <f t="shared" si="10"/>
        <v>2642.4556363099632</v>
      </c>
      <c r="AX56" s="956"/>
      <c r="AY56" s="1674" t="str">
        <f t="shared" si="37"/>
        <v>&lt;50km</v>
      </c>
      <c r="AZ56" s="1809">
        <f t="shared" si="38"/>
        <v>2.1999999999999999E-2</v>
      </c>
      <c r="BA56" s="1810">
        <f t="shared" si="39"/>
        <v>2.1999999999999999E-2</v>
      </c>
      <c r="BB56" s="1811">
        <f t="shared" si="40"/>
        <v>1.0999999999999999E-2</v>
      </c>
      <c r="BC56" s="956"/>
      <c r="BD56" s="1674" t="str">
        <f t="shared" si="41"/>
        <v>&lt;50km</v>
      </c>
      <c r="BE56" s="1675">
        <f t="shared" si="32"/>
        <v>1373.9365499999999</v>
      </c>
      <c r="BF56" s="1676">
        <f t="shared" si="42"/>
        <v>1707.9518968101802</v>
      </c>
      <c r="BG56" s="1677">
        <f t="shared" si="43"/>
        <v>2123.1691389369416</v>
      </c>
      <c r="BH56" s="1676">
        <f t="shared" si="44"/>
        <v>2382.8123876234522</v>
      </c>
      <c r="BI56" s="1678">
        <f t="shared" si="45"/>
        <v>2642.4556363099632</v>
      </c>
      <c r="BJ56" s="956"/>
      <c r="BK56" s="1856" t="str">
        <f t="shared" ref="BK56:BP56" si="51">BD67</f>
        <v>Total</v>
      </c>
      <c r="BL56" s="1818">
        <f t="shared" si="51"/>
        <v>86707.976500000004</v>
      </c>
      <c r="BM56" s="1817">
        <f t="shared" si="51"/>
        <v>106875.47855776828</v>
      </c>
      <c r="BN56" s="1818">
        <f t="shared" si="51"/>
        <v>132115.48802052462</v>
      </c>
      <c r="BO56" s="1818">
        <f t="shared" si="51"/>
        <v>147976.60434278616</v>
      </c>
      <c r="BP56" s="1819">
        <f t="shared" si="51"/>
        <v>163837.7206650477</v>
      </c>
      <c r="BQ56" s="1854"/>
      <c r="BR56" s="956"/>
      <c r="BS56" s="956"/>
      <c r="BT56" s="956"/>
      <c r="BU56" s="956"/>
      <c r="BV56" s="956"/>
      <c r="BW56" s="956"/>
      <c r="BX56" s="956"/>
      <c r="BY56" s="956"/>
      <c r="BZ56" s="956"/>
      <c r="CA56" s="956"/>
      <c r="CB56" s="956"/>
      <c r="CC56" s="956"/>
      <c r="CD56" s="956"/>
      <c r="CE56" s="956"/>
      <c r="CF56" s="956"/>
      <c r="CG56" s="956"/>
      <c r="CH56" s="956"/>
      <c r="CI56" s="956"/>
      <c r="CJ56" s="956"/>
      <c r="CK56" s="956"/>
      <c r="CL56" s="956"/>
      <c r="CM56" s="956"/>
      <c r="CN56" s="956"/>
      <c r="CO56" s="956"/>
      <c r="CP56" s="956"/>
      <c r="CQ56" s="956"/>
      <c r="CR56" s="956"/>
      <c r="CS56" s="956"/>
      <c r="CT56" s="956"/>
      <c r="CU56" s="956"/>
      <c r="CV56" s="956"/>
      <c r="CW56" s="956"/>
      <c r="CX56" s="956"/>
      <c r="CY56" s="956"/>
      <c r="CZ56" s="956"/>
    </row>
    <row r="57" spans="1:104" ht="16.5" thickBot="1" x14ac:dyDescent="0.3">
      <c r="B57" s="119" t="s">
        <v>35</v>
      </c>
      <c r="C57" s="136">
        <v>2.1999999999999999E-2</v>
      </c>
      <c r="D57" s="88">
        <f t="shared" si="33"/>
        <v>1.2431082765868484</v>
      </c>
      <c r="E57" s="97">
        <v>3334.7168271643704</v>
      </c>
      <c r="F57" s="16">
        <f>'Scenarios technology'!D227-E57</f>
        <v>0</v>
      </c>
      <c r="G57" s="105">
        <v>2.1999999999999999E-2</v>
      </c>
      <c r="H57" s="88">
        <f t="shared" si="34"/>
        <v>1.2431082765868484</v>
      </c>
      <c r="I57" s="97">
        <v>4145.4140879214638</v>
      </c>
      <c r="J57" s="16">
        <f>'Scenarios technology'!D367-I57</f>
        <v>0</v>
      </c>
      <c r="K57" s="105">
        <v>1.0999999999999999E-2</v>
      </c>
      <c r="L57" s="88">
        <f t="shared" si="35"/>
        <v>1.2445808427834559</v>
      </c>
      <c r="M57" s="97">
        <v>5159.3029592317071</v>
      </c>
      <c r="N57" s="102">
        <f>'Scenarios technology'!D507-M57</f>
        <v>0</v>
      </c>
      <c r="O57" s="148">
        <f t="shared" si="36"/>
        <v>0.92327341194174051</v>
      </c>
      <c r="Q57" s="3" t="s">
        <v>144</v>
      </c>
      <c r="R57" s="153">
        <f>('Scenarios technology'!D61+'Scenarios technology'!D73)/'Scenarios technology'!D141</f>
        <v>0.22778030692481907</v>
      </c>
      <c r="S57" s="153">
        <f>('Scenarios technology'!D201+'Scenarios technology'!D213)/'Scenarios technology'!D281</f>
        <v>0.21743144359455463</v>
      </c>
      <c r="T57" s="153">
        <f>('Scenarios technology'!D341+'Scenarios technology'!D353)/'Scenarios technology'!D421</f>
        <v>0.20878471215882494</v>
      </c>
      <c r="U57" s="154">
        <f>('Scenarios technology'!D481+'Scenarios technology'!D493)/'Scenarios technology'!D561</f>
        <v>0.20118594001080969</v>
      </c>
      <c r="V57" s="6"/>
      <c r="W57" s="6"/>
      <c r="X57" s="6"/>
      <c r="Y57" s="6"/>
      <c r="Z57" s="6"/>
      <c r="AA57" s="6"/>
      <c r="AB57" s="6"/>
      <c r="AC57" s="6"/>
      <c r="AD57" s="6"/>
      <c r="AE57" s="6"/>
      <c r="AF57" s="6"/>
      <c r="AG57" s="6"/>
      <c r="AH57" s="6"/>
      <c r="AI57" s="70"/>
      <c r="AJ57" s="70"/>
      <c r="AK57" s="70"/>
      <c r="AL57" s="70"/>
      <c r="AM57" s="70"/>
      <c r="AP57" s="1674" t="str">
        <f t="shared" si="0"/>
        <v>&gt;50km</v>
      </c>
      <c r="AQ57" s="1696">
        <f>'Scenarios technology'!$D87</f>
        <v>2682.5634500000001</v>
      </c>
      <c r="AR57" s="1809">
        <f t="shared" si="5"/>
        <v>2.1999999999999999E-2</v>
      </c>
      <c r="AS57" s="1808">
        <f t="shared" si="6"/>
        <v>3334.7168271643704</v>
      </c>
      <c r="AT57" s="1810">
        <f t="shared" si="7"/>
        <v>2.1999999999999999E-2</v>
      </c>
      <c r="AU57" s="1677">
        <f t="shared" si="8"/>
        <v>4145.4140879214638</v>
      </c>
      <c r="AV57" s="1809">
        <f t="shared" si="9"/>
        <v>1.0999999999999999E-2</v>
      </c>
      <c r="AW57" s="1678">
        <f t="shared" si="10"/>
        <v>5159.3029592317071</v>
      </c>
      <c r="AX57" s="956"/>
      <c r="AY57" s="1674" t="str">
        <f t="shared" si="37"/>
        <v>&gt;50km</v>
      </c>
      <c r="AZ57" s="1809">
        <f t="shared" si="38"/>
        <v>2.1999999999999999E-2</v>
      </c>
      <c r="BA57" s="1810">
        <f t="shared" si="39"/>
        <v>2.1999999999999999E-2</v>
      </c>
      <c r="BB57" s="1811">
        <f t="shared" si="40"/>
        <v>1.0999999999999999E-2</v>
      </c>
      <c r="BC57" s="956"/>
      <c r="BD57" s="1674" t="str">
        <f t="shared" si="41"/>
        <v>&gt;50km</v>
      </c>
      <c r="BE57" s="1675">
        <f t="shared" si="32"/>
        <v>2682.5634500000001</v>
      </c>
      <c r="BF57" s="1676">
        <f t="shared" si="42"/>
        <v>3334.7168271643704</v>
      </c>
      <c r="BG57" s="1677">
        <f t="shared" si="43"/>
        <v>4145.4140879214638</v>
      </c>
      <c r="BH57" s="1676">
        <f t="shared" si="44"/>
        <v>4652.3585235765859</v>
      </c>
      <c r="BI57" s="1678">
        <f t="shared" si="45"/>
        <v>5159.3029592317071</v>
      </c>
      <c r="BJ57" s="956"/>
      <c r="BK57" s="956"/>
      <c r="BL57" s="956"/>
      <c r="BM57" s="956"/>
      <c r="BN57" s="956"/>
      <c r="BO57" s="956"/>
      <c r="BP57" s="1809"/>
      <c r="BQ57" s="1857"/>
      <c r="BR57" s="956"/>
      <c r="BS57" s="956"/>
      <c r="BT57" s="956"/>
      <c r="BU57" s="956"/>
      <c r="BV57" s="956"/>
      <c r="BW57" s="956"/>
      <c r="BX57" s="956"/>
      <c r="BY57" s="956"/>
      <c r="BZ57" s="956"/>
      <c r="CA57" s="956"/>
      <c r="CB57" s="956"/>
      <c r="CC57" s="956"/>
      <c r="CD57" s="956"/>
      <c r="CE57" s="956"/>
      <c r="CF57" s="956"/>
      <c r="CG57" s="956"/>
      <c r="CH57" s="956"/>
      <c r="CI57" s="956"/>
      <c r="CJ57" s="956"/>
      <c r="CK57" s="956"/>
      <c r="CL57" s="956"/>
      <c r="CM57" s="956"/>
      <c r="CN57" s="956"/>
      <c r="CO57" s="956"/>
      <c r="CP57" s="956"/>
      <c r="CQ57" s="956"/>
      <c r="CR57" s="956"/>
      <c r="CS57" s="956"/>
      <c r="CT57" s="956"/>
      <c r="CU57" s="956"/>
      <c r="CV57" s="956"/>
      <c r="CW57" s="956"/>
      <c r="CX57" s="956"/>
      <c r="CY57" s="956"/>
      <c r="CZ57" s="956"/>
    </row>
    <row r="58" spans="1:104" ht="16.5" thickBot="1" x14ac:dyDescent="0.3">
      <c r="B58" s="129" t="s">
        <v>24</v>
      </c>
      <c r="C58" s="110">
        <f>('Scenarios technology'!D243/'Scenarios technology'!D103)^(1/10)-1</f>
        <v>0</v>
      </c>
      <c r="D58" s="110">
        <f t="shared" si="33"/>
        <v>1</v>
      </c>
      <c r="E58" s="111">
        <v>167</v>
      </c>
      <c r="F58" s="59">
        <f>'Scenarios technology'!D243-E58</f>
        <v>0</v>
      </c>
      <c r="G58" s="109">
        <f>('Scenarios technology'!D383/'Scenarios technology'!D243)^(1/10)-1</f>
        <v>0</v>
      </c>
      <c r="H58" s="110">
        <f t="shared" si="34"/>
        <v>1</v>
      </c>
      <c r="I58" s="111">
        <v>167</v>
      </c>
      <c r="J58" s="59">
        <f>'Scenarios technology'!D383-I58</f>
        <v>0</v>
      </c>
      <c r="K58" s="109">
        <f>('Scenarios technology'!D523/'Scenarios technology'!D383)^(1/20)-1</f>
        <v>0</v>
      </c>
      <c r="L58" s="110">
        <f t="shared" si="35"/>
        <v>1</v>
      </c>
      <c r="M58" s="111">
        <v>167</v>
      </c>
      <c r="N58" s="112">
        <f>'Scenarios technology'!D523-M58</f>
        <v>0</v>
      </c>
      <c r="O58" s="147">
        <f t="shared" si="36"/>
        <v>0</v>
      </c>
      <c r="Q58" s="3" t="s">
        <v>143</v>
      </c>
      <c r="R58" s="161">
        <f>+'Scenarios technology'!D85/'Scenarios technology'!D141</f>
        <v>4.6783469799920888E-2</v>
      </c>
      <c r="S58" s="161">
        <f>'Scenarios technology'!D225/'Scenarios technology'!D281</f>
        <v>4.7182653982212483E-2</v>
      </c>
      <c r="T58" s="161">
        <f>'Scenarios technology'!D365/'Scenarios technology'!D421</f>
        <v>4.7447754391101812E-2</v>
      </c>
      <c r="U58" s="162">
        <f>'Scenarios technology'!D505/'Scenarios technology'!D561</f>
        <v>4.7618817961290506E-2</v>
      </c>
      <c r="V58" s="6"/>
      <c r="W58" s="6"/>
      <c r="X58" s="6"/>
      <c r="Y58" s="6"/>
      <c r="Z58" s="6"/>
      <c r="AA58" s="6"/>
      <c r="AB58" s="6"/>
      <c r="AC58" s="6"/>
      <c r="AD58" s="6"/>
      <c r="AE58" s="6"/>
      <c r="AF58" s="6"/>
      <c r="AG58" s="6"/>
      <c r="AH58" s="6"/>
      <c r="AI58" s="70"/>
      <c r="AJ58" s="70"/>
      <c r="AK58" s="70"/>
      <c r="AL58" s="70"/>
      <c r="AM58" s="70"/>
      <c r="AP58" s="1695" t="str">
        <f t="shared" si="0"/>
        <v xml:space="preserve">National rail </v>
      </c>
      <c r="AQ58" s="1696">
        <f>'Scenarios technology'!$D103</f>
        <v>167</v>
      </c>
      <c r="AR58" s="1823">
        <f t="shared" si="5"/>
        <v>0</v>
      </c>
      <c r="AS58" s="1824">
        <f t="shared" si="6"/>
        <v>167</v>
      </c>
      <c r="AT58" s="1825">
        <f t="shared" si="7"/>
        <v>0</v>
      </c>
      <c r="AU58" s="1698">
        <f t="shared" si="8"/>
        <v>167</v>
      </c>
      <c r="AV58" s="1823">
        <f t="shared" si="9"/>
        <v>0</v>
      </c>
      <c r="AW58" s="1699">
        <f t="shared" si="10"/>
        <v>167</v>
      </c>
      <c r="AX58" s="956"/>
      <c r="AY58" s="1695" t="str">
        <f t="shared" si="37"/>
        <v xml:space="preserve">National rail </v>
      </c>
      <c r="AZ58" s="1823">
        <f t="shared" si="38"/>
        <v>0</v>
      </c>
      <c r="BA58" s="1825">
        <f t="shared" si="39"/>
        <v>0</v>
      </c>
      <c r="BB58" s="1826">
        <f t="shared" si="40"/>
        <v>0</v>
      </c>
      <c r="BC58" s="956"/>
      <c r="BD58" s="1695" t="str">
        <f t="shared" si="41"/>
        <v xml:space="preserve">National rail </v>
      </c>
      <c r="BE58" s="1696">
        <f t="shared" si="32"/>
        <v>167</v>
      </c>
      <c r="BF58" s="1697">
        <f t="shared" si="42"/>
        <v>167</v>
      </c>
      <c r="BG58" s="1698">
        <f t="shared" si="43"/>
        <v>167</v>
      </c>
      <c r="BH58" s="1697">
        <f t="shared" si="44"/>
        <v>167</v>
      </c>
      <c r="BI58" s="1699">
        <f t="shared" si="45"/>
        <v>167</v>
      </c>
      <c r="BJ58" s="956"/>
      <c r="BK58" s="956"/>
      <c r="BL58" s="956"/>
      <c r="BM58" s="956"/>
      <c r="BN58" s="956"/>
      <c r="BO58" s="956"/>
      <c r="BP58" s="956"/>
      <c r="BQ58" s="956"/>
      <c r="BR58" s="956"/>
      <c r="BS58" s="956"/>
      <c r="BT58" s="956"/>
      <c r="BU58" s="956"/>
      <c r="BV58" s="956"/>
      <c r="BW58" s="956"/>
      <c r="BX58" s="956"/>
      <c r="BY58" s="956"/>
      <c r="BZ58" s="956"/>
      <c r="CA58" s="956"/>
      <c r="CB58" s="956"/>
      <c r="CC58" s="956"/>
      <c r="CD58" s="956"/>
      <c r="CE58" s="956"/>
      <c r="CF58" s="956"/>
      <c r="CG58" s="956"/>
      <c r="CH58" s="956"/>
      <c r="CI58" s="956"/>
      <c r="CJ58" s="956"/>
      <c r="CK58" s="956"/>
      <c r="CL58" s="956"/>
      <c r="CM58" s="956"/>
      <c r="CN58" s="956"/>
      <c r="CO58" s="956"/>
      <c r="CP58" s="956"/>
      <c r="CQ58" s="956"/>
      <c r="CR58" s="956"/>
      <c r="CS58" s="956"/>
      <c r="CT58" s="956"/>
      <c r="CU58" s="956"/>
      <c r="CV58" s="956"/>
      <c r="CW58" s="956"/>
      <c r="CX58" s="956"/>
      <c r="CY58" s="956"/>
      <c r="CZ58" s="956"/>
    </row>
    <row r="59" spans="1:104" ht="16.5" thickBot="1" x14ac:dyDescent="0.3">
      <c r="B59" s="119" t="s">
        <v>23</v>
      </c>
      <c r="C59" s="134">
        <v>0</v>
      </c>
      <c r="D59" s="88">
        <f t="shared" si="33"/>
        <v>1</v>
      </c>
      <c r="E59" s="97">
        <v>8.35</v>
      </c>
      <c r="F59" s="16">
        <f>'Scenarios technology'!D244-E59</f>
        <v>0</v>
      </c>
      <c r="G59" s="104">
        <v>0</v>
      </c>
      <c r="H59" s="88">
        <f t="shared" si="34"/>
        <v>1</v>
      </c>
      <c r="I59" s="97">
        <v>0</v>
      </c>
      <c r="J59" s="16">
        <f>'Scenarios technology'!D384-I59</f>
        <v>0</v>
      </c>
      <c r="K59" s="104">
        <v>0</v>
      </c>
      <c r="L59" s="88">
        <f t="shared" si="35"/>
        <v>1</v>
      </c>
      <c r="M59" s="97">
        <v>0</v>
      </c>
      <c r="N59" s="102">
        <f>'Scenarios technology'!D524-M59</f>
        <v>0</v>
      </c>
      <c r="O59" s="148">
        <f t="shared" si="36"/>
        <v>0</v>
      </c>
      <c r="Q59" s="3" t="s">
        <v>76</v>
      </c>
      <c r="R59" s="153">
        <f>('Scenarios technology'!D103+'Scenarios technology'!D109)/'Scenarios technology'!D141</f>
        <v>6.2854655592153048E-3</v>
      </c>
      <c r="S59" s="153">
        <f>('Scenarios technology'!D243+'Scenarios technology'!D249)/'Scenarios technology'!D281</f>
        <v>6.0024341650923097E-3</v>
      </c>
      <c r="T59" s="153">
        <f>('Scenarios technology'!D383+'Scenarios technology'!D389)/'Scenarios technology'!D421</f>
        <v>5.7727393772658226E-3</v>
      </c>
      <c r="U59" s="154">
        <f>('Scenarios technology'!D523+'Scenarios technology'!D529)/'Scenarios technology'!D561</f>
        <v>5.5892183579839229E-3</v>
      </c>
      <c r="V59" s="6"/>
      <c r="W59" s="6"/>
      <c r="X59" s="6"/>
      <c r="Y59" s="6"/>
      <c r="Z59" s="6"/>
      <c r="AA59" s="6"/>
      <c r="AB59" s="6"/>
      <c r="AC59" s="6"/>
      <c r="AD59" s="6"/>
      <c r="AE59" s="6"/>
      <c r="AF59" s="6"/>
      <c r="AG59" s="6"/>
      <c r="AH59" s="6"/>
      <c r="AI59" s="70"/>
      <c r="AJ59" s="70"/>
      <c r="AK59" s="70"/>
      <c r="AL59" s="70"/>
      <c r="AM59" s="70"/>
      <c r="AP59" s="1674" t="str">
        <f t="shared" si="0"/>
        <v>National rail (diesel)</v>
      </c>
      <c r="AQ59" s="1696">
        <f>'Scenarios technology'!$D104</f>
        <v>28.39</v>
      </c>
      <c r="AR59" s="1809">
        <f t="shared" si="5"/>
        <v>0</v>
      </c>
      <c r="AS59" s="1808">
        <f t="shared" si="6"/>
        <v>8.35</v>
      </c>
      <c r="AT59" s="1810">
        <f t="shared" si="7"/>
        <v>0</v>
      </c>
      <c r="AU59" s="1677">
        <f t="shared" si="8"/>
        <v>0</v>
      </c>
      <c r="AV59" s="1809">
        <f t="shared" si="9"/>
        <v>0</v>
      </c>
      <c r="AW59" s="1678">
        <f t="shared" si="10"/>
        <v>0</v>
      </c>
      <c r="AX59" s="956"/>
      <c r="AY59" s="1674" t="str">
        <f t="shared" si="37"/>
        <v>National rail (diesel)</v>
      </c>
      <c r="AZ59" s="1809">
        <f t="shared" si="38"/>
        <v>0</v>
      </c>
      <c r="BA59" s="1810">
        <f t="shared" si="39"/>
        <v>0</v>
      </c>
      <c r="BB59" s="1811">
        <f t="shared" si="40"/>
        <v>0</v>
      </c>
      <c r="BC59" s="956"/>
      <c r="BD59" s="1674" t="str">
        <f t="shared" si="41"/>
        <v>National rail (diesel)</v>
      </c>
      <c r="BE59" s="1661">
        <f t="shared" si="32"/>
        <v>28.39</v>
      </c>
      <c r="BF59" s="1676">
        <f t="shared" si="42"/>
        <v>8.35</v>
      </c>
      <c r="BG59" s="1677">
        <f t="shared" si="43"/>
        <v>0</v>
      </c>
      <c r="BH59" s="1676">
        <f t="shared" si="44"/>
        <v>0</v>
      </c>
      <c r="BI59" s="1678">
        <f t="shared" si="45"/>
        <v>0</v>
      </c>
      <c r="BJ59" s="956"/>
      <c r="BK59" s="1965" t="s">
        <v>519</v>
      </c>
      <c r="BL59" s="1966"/>
      <c r="BM59" s="1966"/>
      <c r="BN59" s="1966"/>
      <c r="BO59" s="1966"/>
      <c r="BP59" s="1967"/>
      <c r="BQ59" s="956"/>
      <c r="BR59" s="956"/>
      <c r="BS59" s="956"/>
      <c r="BT59" s="956"/>
      <c r="BU59" s="956"/>
      <c r="BV59" s="956"/>
      <c r="BW59" s="956"/>
      <c r="BX59" s="956"/>
      <c r="BY59" s="956"/>
      <c r="BZ59" s="956"/>
      <c r="CA59" s="956"/>
      <c r="CB59" s="956"/>
      <c r="CC59" s="956"/>
      <c r="CD59" s="956"/>
      <c r="CE59" s="956"/>
      <c r="CF59" s="956"/>
      <c r="CG59" s="956"/>
      <c r="CH59" s="956"/>
      <c r="CI59" s="956"/>
      <c r="CJ59" s="956"/>
      <c r="CK59" s="956"/>
      <c r="CL59" s="956"/>
      <c r="CM59" s="956"/>
      <c r="CN59" s="956"/>
      <c r="CO59" s="956"/>
      <c r="CP59" s="956"/>
      <c r="CQ59" s="956"/>
      <c r="CR59" s="956"/>
      <c r="CS59" s="956"/>
      <c r="CT59" s="956"/>
      <c r="CU59" s="956"/>
      <c r="CV59" s="956"/>
      <c r="CW59" s="956"/>
      <c r="CX59" s="956"/>
      <c r="CY59" s="956"/>
      <c r="CZ59" s="956"/>
    </row>
    <row r="60" spans="1:104" ht="16.5" thickBot="1" x14ac:dyDescent="0.3">
      <c r="B60" s="119" t="s">
        <v>25</v>
      </c>
      <c r="C60" s="136">
        <v>0</v>
      </c>
      <c r="D60" s="88">
        <f t="shared" si="33"/>
        <v>1</v>
      </c>
      <c r="E60" s="97">
        <v>158.65</v>
      </c>
      <c r="F60" s="16">
        <f>'Scenarios technology'!D245-E60</f>
        <v>0</v>
      </c>
      <c r="G60" s="105">
        <v>0</v>
      </c>
      <c r="H60" s="88">
        <f t="shared" si="34"/>
        <v>1</v>
      </c>
      <c r="I60" s="97">
        <v>167</v>
      </c>
      <c r="J60" s="16">
        <f>'Scenarios technology'!D385-I60</f>
        <v>0</v>
      </c>
      <c r="K60" s="105">
        <v>0</v>
      </c>
      <c r="L60" s="88">
        <f t="shared" si="35"/>
        <v>1</v>
      </c>
      <c r="M60" s="97">
        <v>167</v>
      </c>
      <c r="N60" s="102">
        <f>'Scenarios technology'!D525-M60</f>
        <v>0</v>
      </c>
      <c r="O60" s="148">
        <f t="shared" si="36"/>
        <v>0</v>
      </c>
      <c r="Q60" s="3" t="s">
        <v>77</v>
      </c>
      <c r="R60" s="153">
        <f>('Scenarios technology'!D123+'Scenarios technology'!D128)/'Scenarios technology'!D141</f>
        <v>0.71235660769917741</v>
      </c>
      <c r="S60" s="153">
        <f>('Scenarios technology'!D263+'Scenarios technology'!D268)/'Scenarios technology'!D281</f>
        <v>0.7224666489793341</v>
      </c>
      <c r="T60" s="153">
        <f>('Scenarios technology'!D403+'Scenarios technology'!D408)/'Scenarios technology'!D421</f>
        <v>0.73097289137094845</v>
      </c>
      <c r="U60" s="154">
        <f>('Scenarios technology'!D543+'Scenarios technology'!D548)/'Scenarios technology'!D561</f>
        <v>0.7384905071003568</v>
      </c>
      <c r="V60" s="6"/>
      <c r="W60" s="6"/>
      <c r="X60" s="6"/>
      <c r="Y60" s="6"/>
      <c r="Z60" s="6"/>
      <c r="AA60" s="6"/>
      <c r="AB60" s="6"/>
      <c r="AC60" s="6"/>
      <c r="AD60" s="6"/>
      <c r="AE60" s="6"/>
      <c r="AF60" s="6"/>
      <c r="AG60" s="6"/>
      <c r="AH60" s="6"/>
      <c r="AI60" s="70"/>
      <c r="AJ60" s="70"/>
      <c r="AK60" s="70"/>
      <c r="AL60" s="70"/>
      <c r="AM60" s="70"/>
      <c r="AP60" s="1674" t="str">
        <f t="shared" si="0"/>
        <v>National rail (electricity)</v>
      </c>
      <c r="AQ60" s="1696">
        <f>'Scenarios technology'!$D105</f>
        <v>138.60999999999999</v>
      </c>
      <c r="AR60" s="1809">
        <f t="shared" si="5"/>
        <v>0</v>
      </c>
      <c r="AS60" s="1808">
        <f t="shared" si="6"/>
        <v>158.65</v>
      </c>
      <c r="AT60" s="1810">
        <f t="shared" si="7"/>
        <v>0</v>
      </c>
      <c r="AU60" s="1677">
        <f t="shared" si="8"/>
        <v>167</v>
      </c>
      <c r="AV60" s="1809">
        <f t="shared" si="9"/>
        <v>0</v>
      </c>
      <c r="AW60" s="1678">
        <f t="shared" si="10"/>
        <v>167</v>
      </c>
      <c r="AX60" s="956"/>
      <c r="AY60" s="1674" t="str">
        <f t="shared" si="37"/>
        <v>National rail (electricity)</v>
      </c>
      <c r="AZ60" s="1809">
        <f t="shared" si="38"/>
        <v>0</v>
      </c>
      <c r="BA60" s="1810">
        <f t="shared" si="39"/>
        <v>0</v>
      </c>
      <c r="BB60" s="1811">
        <f t="shared" si="40"/>
        <v>0</v>
      </c>
      <c r="BC60" s="956"/>
      <c r="BD60" s="1674" t="str">
        <f t="shared" si="41"/>
        <v>National rail (electricity)</v>
      </c>
      <c r="BE60" s="1675">
        <f t="shared" si="32"/>
        <v>138.60999999999999</v>
      </c>
      <c r="BF60" s="1676">
        <f t="shared" si="42"/>
        <v>158.65</v>
      </c>
      <c r="BG60" s="1677">
        <f t="shared" si="43"/>
        <v>167</v>
      </c>
      <c r="BH60" s="1676">
        <f t="shared" si="44"/>
        <v>167</v>
      </c>
      <c r="BI60" s="1678">
        <f t="shared" si="45"/>
        <v>167</v>
      </c>
      <c r="BJ60" s="956"/>
      <c r="BK60" s="1852" t="str">
        <f>BK46</f>
        <v>Year</v>
      </c>
      <c r="BL60" s="1801">
        <f t="shared" ref="BL60:BP60" si="52">BL46</f>
        <v>2010</v>
      </c>
      <c r="BM60" s="1800">
        <f t="shared" si="52"/>
        <v>2020</v>
      </c>
      <c r="BN60" s="1801">
        <f t="shared" si="52"/>
        <v>2030</v>
      </c>
      <c r="BO60" s="1801">
        <f t="shared" si="52"/>
        <v>2040</v>
      </c>
      <c r="BP60" s="1802">
        <f t="shared" si="52"/>
        <v>2050</v>
      </c>
      <c r="BQ60" s="956"/>
      <c r="BR60" s="956"/>
      <c r="BS60" s="956"/>
      <c r="BT60" s="956"/>
      <c r="BU60" s="956"/>
      <c r="BV60" s="956"/>
      <c r="BW60" s="956"/>
      <c r="BX60" s="956"/>
      <c r="BY60" s="956"/>
      <c r="BZ60" s="956"/>
      <c r="CA60" s="956"/>
      <c r="CB60" s="956"/>
      <c r="CC60" s="956"/>
      <c r="CD60" s="956"/>
      <c r="CE60" s="956"/>
      <c r="CF60" s="956"/>
      <c r="CG60" s="956"/>
      <c r="CH60" s="956"/>
      <c r="CI60" s="956"/>
      <c r="CJ60" s="956"/>
      <c r="CK60" s="956"/>
      <c r="CL60" s="956"/>
      <c r="CM60" s="956"/>
      <c r="CN60" s="956"/>
      <c r="CO60" s="956"/>
      <c r="CP60" s="956"/>
      <c r="CQ60" s="956"/>
      <c r="CR60" s="956"/>
      <c r="CS60" s="956"/>
      <c r="CT60" s="956"/>
      <c r="CU60" s="956"/>
      <c r="CV60" s="956"/>
      <c r="CW60" s="956"/>
      <c r="CX60" s="956"/>
      <c r="CY60" s="956"/>
      <c r="CZ60" s="956"/>
    </row>
    <row r="61" spans="1:104" ht="16.5" thickBot="1" x14ac:dyDescent="0.3">
      <c r="B61" s="129" t="s">
        <v>26</v>
      </c>
      <c r="C61" s="137">
        <v>2.3E-2</v>
      </c>
      <c r="D61" s="110">
        <f t="shared" si="33"/>
        <v>1.2553254600680925</v>
      </c>
      <c r="E61" s="111">
        <v>474.51302390573898</v>
      </c>
      <c r="F61" s="59">
        <f>'Scenarios technology'!D249-E61</f>
        <v>0</v>
      </c>
      <c r="G61" s="133">
        <v>2.3E-2</v>
      </c>
      <c r="H61" s="110">
        <f t="shared" si="34"/>
        <v>1.2553254600680925</v>
      </c>
      <c r="I61" s="111">
        <v>595.66828004277352</v>
      </c>
      <c r="J61" s="59">
        <f>'Scenarios technology'!D389-I61</f>
        <v>0</v>
      </c>
      <c r="K61" s="133">
        <f>G61/2</f>
        <v>1.15E-2</v>
      </c>
      <c r="L61" s="110">
        <f t="shared" si="35"/>
        <v>1.2569492470164139</v>
      </c>
      <c r="M61" s="111">
        <v>748.72479607132652</v>
      </c>
      <c r="N61" s="112">
        <f>'Scenarios technology'!D529-M61</f>
        <v>0</v>
      </c>
      <c r="O61" s="147">
        <f t="shared" si="36"/>
        <v>0.98075342876012339</v>
      </c>
      <c r="Q61" s="3" t="s">
        <v>107</v>
      </c>
      <c r="R61" s="153">
        <f>('Scenarios technology'!D115+'Scenarios technology'!D119)/'Scenarios technology'!D141</f>
        <v>6.7941500168672477E-3</v>
      </c>
      <c r="S61" s="153">
        <f>('Scenarios technology'!D255+'Scenarios technology'!D259)/'Scenarios technology'!D281</f>
        <v>6.9168192788064634E-3</v>
      </c>
      <c r="T61" s="153">
        <f>('Scenarios technology'!D395+'Scenarios technology'!D399)/'Scenarios technology'!D421</f>
        <v>7.0219027018591264E-3</v>
      </c>
      <c r="U61" s="154">
        <f>('Scenarios technology'!D535+'Scenarios technology'!D539)/'Scenarios technology'!D561</f>
        <v>7.1155165695591617E-3</v>
      </c>
      <c r="V61" s="6"/>
      <c r="W61" s="6"/>
      <c r="X61" s="6"/>
      <c r="Y61" s="6"/>
      <c r="Z61" s="6"/>
      <c r="AA61" s="6"/>
      <c r="AB61" s="6"/>
      <c r="AC61" s="6"/>
      <c r="AD61" s="6"/>
      <c r="AE61" s="6"/>
      <c r="AF61" s="6"/>
      <c r="AG61" s="6"/>
      <c r="AH61" s="6"/>
      <c r="AI61" s="70"/>
      <c r="AJ61" s="70"/>
      <c r="AK61" s="70"/>
      <c r="AL61" s="70"/>
      <c r="AM61" s="70"/>
      <c r="AP61" s="1695" t="str">
        <f t="shared" si="0"/>
        <v>International rail (electricity)</v>
      </c>
      <c r="AQ61" s="1696">
        <f>'Scenarios technology'!$D109</f>
        <v>378</v>
      </c>
      <c r="AR61" s="1823">
        <f t="shared" si="5"/>
        <v>2.3E-2</v>
      </c>
      <c r="AS61" s="1824">
        <f t="shared" si="6"/>
        <v>474.51302390573898</v>
      </c>
      <c r="AT61" s="1825">
        <f t="shared" si="7"/>
        <v>2.3E-2</v>
      </c>
      <c r="AU61" s="1698">
        <f t="shared" si="8"/>
        <v>595.66828004277352</v>
      </c>
      <c r="AV61" s="1823">
        <f t="shared" si="9"/>
        <v>1.15E-2</v>
      </c>
      <c r="AW61" s="1699">
        <f t="shared" si="10"/>
        <v>748.72479607132652</v>
      </c>
      <c r="AX61" s="956"/>
      <c r="AY61" s="1695" t="str">
        <f t="shared" si="37"/>
        <v>International rail (electricity)</v>
      </c>
      <c r="AZ61" s="1823">
        <f t="shared" si="38"/>
        <v>2.3E-2</v>
      </c>
      <c r="BA61" s="1825">
        <f t="shared" si="39"/>
        <v>2.3E-2</v>
      </c>
      <c r="BB61" s="1826">
        <f t="shared" si="40"/>
        <v>1.15E-2</v>
      </c>
      <c r="BC61" s="956"/>
      <c r="BD61" s="1695" t="str">
        <f t="shared" si="41"/>
        <v>International rail (electricity)</v>
      </c>
      <c r="BE61" s="1696">
        <f t="shared" si="32"/>
        <v>378</v>
      </c>
      <c r="BF61" s="1697">
        <f t="shared" si="42"/>
        <v>474.51302390573898</v>
      </c>
      <c r="BG61" s="1698">
        <f t="shared" si="43"/>
        <v>595.66828004277352</v>
      </c>
      <c r="BH61" s="1697">
        <f t="shared" si="44"/>
        <v>672.19653805705002</v>
      </c>
      <c r="BI61" s="1699">
        <f t="shared" si="45"/>
        <v>748.72479607132652</v>
      </c>
      <c r="BJ61" s="956"/>
      <c r="BK61" s="1853" t="str">
        <f t="shared" ref="BK61:BK70" si="53">BK47</f>
        <v>Vans (2-6 t)</v>
      </c>
      <c r="BL61" s="1821">
        <f>BL47/BL$56</f>
        <v>4.6783469799920888E-2</v>
      </c>
      <c r="BM61" s="1820">
        <f t="shared" ref="BM61:BP70" si="54">BM47/BM$56</f>
        <v>4.7182653982212483E-2</v>
      </c>
      <c r="BN61" s="1821">
        <f t="shared" si="54"/>
        <v>4.7447754391101812E-2</v>
      </c>
      <c r="BO61" s="1821">
        <f t="shared" si="54"/>
        <v>4.7542454041607438E-2</v>
      </c>
      <c r="BP61" s="1822">
        <f t="shared" si="54"/>
        <v>4.7618817961290506E-2</v>
      </c>
      <c r="BQ61" s="956"/>
      <c r="BR61" s="956"/>
      <c r="BS61" s="956"/>
      <c r="BT61" s="956"/>
      <c r="BU61" s="956"/>
      <c r="BV61" s="956"/>
      <c r="BW61" s="956"/>
      <c r="BX61" s="956"/>
      <c r="BY61" s="956"/>
      <c r="BZ61" s="956"/>
      <c r="CA61" s="956"/>
      <c r="CB61" s="956"/>
      <c r="CC61" s="956"/>
      <c r="CD61" s="956"/>
      <c r="CE61" s="956"/>
      <c r="CF61" s="956"/>
      <c r="CG61" s="956"/>
      <c r="CH61" s="956"/>
      <c r="CI61" s="956"/>
      <c r="CJ61" s="956"/>
      <c r="CK61" s="956"/>
      <c r="CL61" s="956"/>
      <c r="CM61" s="956"/>
      <c r="CN61" s="956"/>
      <c r="CO61" s="956"/>
      <c r="CP61" s="956"/>
      <c r="CQ61" s="956"/>
      <c r="CR61" s="956"/>
      <c r="CS61" s="956"/>
      <c r="CT61" s="956"/>
      <c r="CU61" s="956"/>
      <c r="CV61" s="956"/>
      <c r="CW61" s="956"/>
      <c r="CX61" s="956"/>
      <c r="CY61" s="956"/>
      <c r="CZ61" s="956"/>
    </row>
    <row r="62" spans="1:104" ht="16.5" thickBot="1" x14ac:dyDescent="0.3">
      <c r="B62" s="129" t="s">
        <v>19</v>
      </c>
      <c r="C62" s="137">
        <v>0</v>
      </c>
      <c r="D62" s="110">
        <f t="shared" si="33"/>
        <v>1</v>
      </c>
      <c r="E62" s="111">
        <v>1.107</v>
      </c>
      <c r="F62" s="59">
        <f>'Scenarios technology'!D255-E62</f>
        <v>0</v>
      </c>
      <c r="G62" s="133">
        <v>0</v>
      </c>
      <c r="H62" s="110">
        <f t="shared" si="34"/>
        <v>1</v>
      </c>
      <c r="I62" s="111">
        <v>1.107</v>
      </c>
      <c r="J62" s="59">
        <f>'Scenarios technology'!D395-I62</f>
        <v>0</v>
      </c>
      <c r="K62" s="133">
        <v>0</v>
      </c>
      <c r="L62" s="110">
        <f t="shared" si="35"/>
        <v>1</v>
      </c>
      <c r="M62" s="111">
        <v>1.107</v>
      </c>
      <c r="N62" s="112">
        <f>'Scenarios technology'!D535-M62</f>
        <v>0</v>
      </c>
      <c r="O62" s="147">
        <f t="shared" si="36"/>
        <v>0</v>
      </c>
      <c r="Q62" s="18" t="s">
        <v>138</v>
      </c>
      <c r="R62" s="37">
        <v>2010</v>
      </c>
      <c r="S62" s="37">
        <v>2020</v>
      </c>
      <c r="T62" s="37">
        <v>2030</v>
      </c>
      <c r="U62" s="38">
        <v>2050</v>
      </c>
      <c r="V62" s="6"/>
      <c r="W62" s="6"/>
      <c r="X62" s="6"/>
      <c r="Y62" s="6"/>
      <c r="Z62" s="6"/>
      <c r="AA62" s="6"/>
      <c r="AB62" s="6"/>
      <c r="AC62" s="6"/>
      <c r="AD62" s="6"/>
      <c r="AE62" s="6"/>
      <c r="AF62" s="6"/>
      <c r="AG62" s="6"/>
      <c r="AH62" s="6"/>
      <c r="AI62" s="70"/>
      <c r="AJ62" s="70"/>
      <c r="AK62" s="70"/>
      <c r="AL62" s="70"/>
      <c r="AM62" s="70"/>
      <c r="AP62" s="1695" t="str">
        <f t="shared" si="0"/>
        <v>National cargo air</v>
      </c>
      <c r="AQ62" s="1696">
        <f>'Scenarios technology'!$D115</f>
        <v>1.107</v>
      </c>
      <c r="AR62" s="1823">
        <f t="shared" si="5"/>
        <v>0</v>
      </c>
      <c r="AS62" s="1824">
        <f t="shared" si="6"/>
        <v>1.107</v>
      </c>
      <c r="AT62" s="1825">
        <f t="shared" si="7"/>
        <v>0</v>
      </c>
      <c r="AU62" s="1698">
        <f t="shared" si="8"/>
        <v>1.107</v>
      </c>
      <c r="AV62" s="1823">
        <f t="shared" si="9"/>
        <v>0</v>
      </c>
      <c r="AW62" s="1699">
        <f t="shared" si="10"/>
        <v>1.107</v>
      </c>
      <c r="AX62" s="956"/>
      <c r="AY62" s="1695" t="str">
        <f t="shared" si="37"/>
        <v>National cargo air</v>
      </c>
      <c r="AZ62" s="1823">
        <f t="shared" si="38"/>
        <v>0</v>
      </c>
      <c r="BA62" s="1825">
        <f t="shared" si="39"/>
        <v>0</v>
      </c>
      <c r="BB62" s="1826">
        <f t="shared" si="40"/>
        <v>0</v>
      </c>
      <c r="BC62" s="956"/>
      <c r="BD62" s="1695" t="str">
        <f t="shared" si="41"/>
        <v>National cargo air</v>
      </c>
      <c r="BE62" s="1696">
        <f t="shared" si="32"/>
        <v>1.107</v>
      </c>
      <c r="BF62" s="1697">
        <f t="shared" si="42"/>
        <v>1.107</v>
      </c>
      <c r="BG62" s="1698">
        <f t="shared" si="43"/>
        <v>1.107</v>
      </c>
      <c r="BH62" s="1697">
        <f t="shared" si="44"/>
        <v>1.107</v>
      </c>
      <c r="BI62" s="1699">
        <f t="shared" si="45"/>
        <v>1.107</v>
      </c>
      <c r="BJ62" s="956"/>
      <c r="BK62" s="1853" t="str">
        <f t="shared" si="53"/>
        <v>National truck</v>
      </c>
      <c r="BL62" s="1821">
        <f t="shared" ref="BL62:BL70" si="55">BL48/BL$56</f>
        <v>0.11535478515059107</v>
      </c>
      <c r="BM62" s="1820">
        <f t="shared" si="54"/>
        <v>0.11636765313193824</v>
      </c>
      <c r="BN62" s="1821">
        <f t="shared" si="54"/>
        <v>0.11701124884159032</v>
      </c>
      <c r="BO62" s="1821">
        <f t="shared" si="54"/>
        <v>0.11725843170836303</v>
      </c>
      <c r="BP62" s="1822">
        <f t="shared" si="54"/>
        <v>0.11745775506895074</v>
      </c>
      <c r="BQ62" s="956"/>
      <c r="BR62" s="956"/>
      <c r="BS62" s="956"/>
      <c r="BT62" s="956"/>
      <c r="BU62" s="956"/>
      <c r="BV62" s="956"/>
      <c r="BW62" s="956"/>
      <c r="BX62" s="956"/>
      <c r="BY62" s="956"/>
      <c r="BZ62" s="956"/>
      <c r="CA62" s="956"/>
      <c r="CB62" s="956"/>
      <c r="CC62" s="956"/>
      <c r="CD62" s="956"/>
      <c r="CE62" s="956"/>
      <c r="CF62" s="956"/>
      <c r="CG62" s="956"/>
      <c r="CH62" s="956"/>
      <c r="CI62" s="956"/>
      <c r="CJ62" s="956"/>
      <c r="CK62" s="956"/>
      <c r="CL62" s="956"/>
      <c r="CM62" s="956"/>
      <c r="CN62" s="956"/>
      <c r="CO62" s="956"/>
      <c r="CP62" s="956"/>
      <c r="CQ62" s="956"/>
      <c r="CR62" s="956"/>
      <c r="CS62" s="956"/>
      <c r="CT62" s="956"/>
      <c r="CU62" s="956"/>
      <c r="CV62" s="956"/>
      <c r="CW62" s="956"/>
      <c r="CX62" s="956"/>
      <c r="CY62" s="956"/>
      <c r="CZ62" s="956"/>
    </row>
    <row r="63" spans="1:104" ht="16.5" thickBot="1" x14ac:dyDescent="0.3">
      <c r="B63" s="129" t="s">
        <v>20</v>
      </c>
      <c r="C63" s="137">
        <v>2.3E-2</v>
      </c>
      <c r="D63" s="110">
        <f t="shared" si="33"/>
        <v>1.2553254600680925</v>
      </c>
      <c r="E63" s="111">
        <v>738.13137052003844</v>
      </c>
      <c r="F63" s="59">
        <f>'Scenarios technology'!D259-E63</f>
        <v>0</v>
      </c>
      <c r="G63" s="133">
        <v>2.3E-2</v>
      </c>
      <c r="H63" s="110">
        <f t="shared" si="34"/>
        <v>1.2553254600680925</v>
      </c>
      <c r="I63" s="111">
        <v>926.59510228875888</v>
      </c>
      <c r="J63" s="59">
        <f>'Scenarios technology'!D399-I63</f>
        <v>0</v>
      </c>
      <c r="K63" s="133">
        <f>G63/2</f>
        <v>1.15E-2</v>
      </c>
      <c r="L63" s="110">
        <f t="shared" si="35"/>
        <v>1.2569492470164139</v>
      </c>
      <c r="M63" s="111">
        <v>1164.6830161109524</v>
      </c>
      <c r="N63" s="112">
        <f>'Scenarios technology'!D539-M63</f>
        <v>0</v>
      </c>
      <c r="O63" s="147">
        <f t="shared" si="36"/>
        <v>0.98075342876012339</v>
      </c>
      <c r="Q63" s="3" t="s">
        <v>144</v>
      </c>
      <c r="R63" s="153">
        <f>('Scenarios technology'!D61)/('Scenarios technology'!D141-'Scenarios technology'!D73-'Scenarios technology'!D109-'Scenarios technology'!D119-'Scenarios technology'!D128)</f>
        <v>0.61363869356084189</v>
      </c>
      <c r="S63" s="153">
        <f>('Scenarios technology'!D201)/('Scenarios technology'!D281-'Scenarios technology'!D213-'Scenarios technology'!D249-'Scenarios technology'!D259-'Scenarios technology'!D268)</f>
        <v>0.624145678846179</v>
      </c>
      <c r="T63" s="153">
        <f>('Scenarios technology'!D341)/('Scenarios technology'!D421-'Scenarios technology'!D353-'Scenarios technology'!D389-'Scenarios technology'!D399-'Scenarios technology'!D408)</f>
        <v>0.63355989954150427</v>
      </c>
      <c r="U63" s="154">
        <f>('Scenarios technology'!D481)/('Scenarios technology'!D561-'Scenarios technology'!D493-'Scenarios technology'!D529-'Scenarios technology'!D539-'Scenarios technology'!D548)</f>
        <v>0.64216521868043308</v>
      </c>
      <c r="V63" s="6"/>
      <c r="W63" s="6"/>
      <c r="X63" s="6"/>
      <c r="Y63" s="6"/>
      <c r="Z63" s="6"/>
      <c r="AA63" s="6"/>
      <c r="AB63" s="6"/>
      <c r="AC63" s="6"/>
      <c r="AD63" s="6"/>
      <c r="AE63" s="6"/>
      <c r="AF63" s="6"/>
      <c r="AG63" s="6"/>
      <c r="AH63" s="6"/>
      <c r="AI63" s="70"/>
      <c r="AJ63" s="70"/>
      <c r="AK63" s="70"/>
      <c r="AL63" s="70"/>
      <c r="AM63" s="70"/>
      <c r="AP63" s="1695" t="str">
        <f t="shared" si="0"/>
        <v>Internationa cargo air</v>
      </c>
      <c r="AQ63" s="1696">
        <f>'Scenarios technology'!$D119</f>
        <v>588</v>
      </c>
      <c r="AR63" s="1823">
        <f t="shared" si="5"/>
        <v>2.3E-2</v>
      </c>
      <c r="AS63" s="1824">
        <f t="shared" si="6"/>
        <v>738.13137052003844</v>
      </c>
      <c r="AT63" s="1825">
        <f t="shared" si="7"/>
        <v>2.3E-2</v>
      </c>
      <c r="AU63" s="1698">
        <f t="shared" si="8"/>
        <v>926.59510228875888</v>
      </c>
      <c r="AV63" s="1823">
        <f t="shared" si="9"/>
        <v>1.15E-2</v>
      </c>
      <c r="AW63" s="1699">
        <f t="shared" si="10"/>
        <v>1164.6830161109524</v>
      </c>
      <c r="AX63" s="956"/>
      <c r="AY63" s="1695" t="str">
        <f t="shared" si="37"/>
        <v>Internationa cargo air</v>
      </c>
      <c r="AZ63" s="1823">
        <f t="shared" si="38"/>
        <v>2.3E-2</v>
      </c>
      <c r="BA63" s="1825">
        <f t="shared" si="39"/>
        <v>2.3E-2</v>
      </c>
      <c r="BB63" s="1826">
        <f t="shared" si="40"/>
        <v>1.15E-2</v>
      </c>
      <c r="BC63" s="956"/>
      <c r="BD63" s="1695" t="str">
        <f t="shared" si="41"/>
        <v>Internationa cargo air</v>
      </c>
      <c r="BE63" s="1696">
        <f t="shared" si="32"/>
        <v>588</v>
      </c>
      <c r="BF63" s="1697">
        <f t="shared" si="42"/>
        <v>738.13137052003844</v>
      </c>
      <c r="BG63" s="1698">
        <f t="shared" si="43"/>
        <v>926.59510228875888</v>
      </c>
      <c r="BH63" s="1697">
        <f t="shared" si="44"/>
        <v>1045.6390591998556</v>
      </c>
      <c r="BI63" s="1699">
        <f t="shared" si="45"/>
        <v>1164.6830161109524</v>
      </c>
      <c r="BJ63" s="956"/>
      <c r="BK63" s="1853" t="str">
        <f t="shared" si="53"/>
        <v>International truck</v>
      </c>
      <c r="BL63" s="1821">
        <f t="shared" si="55"/>
        <v>0.112425521774228</v>
      </c>
      <c r="BM63" s="1820">
        <f t="shared" si="54"/>
        <v>0.10106379046261636</v>
      </c>
      <c r="BN63" s="1821">
        <f t="shared" si="54"/>
        <v>9.1773463317234599E-2</v>
      </c>
      <c r="BO63" s="1821">
        <f t="shared" si="54"/>
        <v>8.7319650915633831E-2</v>
      </c>
      <c r="BP63" s="1822">
        <f t="shared" si="54"/>
        <v>8.3728184941858949E-2</v>
      </c>
      <c r="BQ63" s="956"/>
      <c r="BR63" s="956"/>
      <c r="BS63" s="956"/>
      <c r="BT63" s="956"/>
      <c r="BU63" s="956"/>
      <c r="BV63" s="956"/>
      <c r="BW63" s="956"/>
      <c r="BX63" s="956"/>
      <c r="BY63" s="956"/>
      <c r="BZ63" s="956"/>
      <c r="CA63" s="956"/>
      <c r="CB63" s="956"/>
      <c r="CC63" s="956"/>
      <c r="CD63" s="956"/>
      <c r="CE63" s="956"/>
      <c r="CF63" s="956"/>
      <c r="CG63" s="956"/>
      <c r="CH63" s="956"/>
      <c r="CI63" s="956"/>
      <c r="CJ63" s="956"/>
      <c r="CK63" s="956"/>
      <c r="CL63" s="956"/>
      <c r="CM63" s="956"/>
      <c r="CN63" s="956"/>
      <c r="CO63" s="956"/>
      <c r="CP63" s="956"/>
      <c r="CQ63" s="956"/>
      <c r="CR63" s="956"/>
      <c r="CS63" s="956"/>
      <c r="CT63" s="956"/>
      <c r="CU63" s="956"/>
      <c r="CV63" s="956"/>
      <c r="CW63" s="956"/>
      <c r="CX63" s="956"/>
      <c r="CY63" s="956"/>
      <c r="CZ63" s="956"/>
    </row>
    <row r="64" spans="1:104" ht="16.5" thickBot="1" x14ac:dyDescent="0.3">
      <c r="B64" s="129" t="s">
        <v>21</v>
      </c>
      <c r="C64" s="137">
        <v>9.4999999999999998E-3</v>
      </c>
      <c r="D64" s="110">
        <f t="shared" si="33"/>
        <v>1.0991658651176153</v>
      </c>
      <c r="E64" s="111">
        <v>2278.5708383888164</v>
      </c>
      <c r="F64" s="59">
        <f>'Scenarios technology'!D263-E64</f>
        <v>0</v>
      </c>
      <c r="G64" s="133">
        <v>9.4999999999999998E-3</v>
      </c>
      <c r="H64" s="110">
        <f t="shared" si="34"/>
        <v>1.0991658651176153</v>
      </c>
      <c r="I64" s="111">
        <v>2504.5272868094135</v>
      </c>
      <c r="J64" s="59">
        <f>'Scenarios technology'!D403-I64</f>
        <v>0</v>
      </c>
      <c r="K64" s="133">
        <f>G64/2</f>
        <v>4.7499999999999999E-3</v>
      </c>
      <c r="L64" s="110">
        <f t="shared" si="35"/>
        <v>1.099411555303379</v>
      </c>
      <c r="M64" s="111">
        <v>2753.5062396908893</v>
      </c>
      <c r="N64" s="112">
        <f>'Scenarios technology'!D543-M64</f>
        <v>0</v>
      </c>
      <c r="O64" s="147">
        <f t="shared" si="36"/>
        <v>0.32827122030433609</v>
      </c>
      <c r="Q64" s="3" t="s">
        <v>143</v>
      </c>
      <c r="R64" s="153">
        <f>+'Scenarios technology'!D85/('Scenarios technology'!D141-'Scenarios technology'!D73-'Scenarios technology'!D109-'Scenarios technology'!D119-'Scenarios technology'!D128)</f>
        <v>0.2488682827573144</v>
      </c>
      <c r="S64" s="153">
        <f>+'Scenarios technology'!D225/('Scenarios technology'!D281-'Scenarios technology'!D213-'Scenarios technology'!D249-'Scenarios technology'!D259-'Scenarios technology'!D268)</f>
        <v>0.25306731558900758</v>
      </c>
      <c r="T64" s="153">
        <f>+'Scenarios technology'!D365/('Scenarios technology'!D421-'Scenarios technology'!D353-'Scenarios technology'!D389-'Scenarios technology'!D399-'Scenarios technology'!D408)</f>
        <v>0.25690687692935377</v>
      </c>
      <c r="U64" s="154">
        <f>+'Scenarios technology'!D505/('Scenarios technology'!D561-'Scenarios technology'!D493-'Scenarios technology'!D529-'Scenarios technology'!D539-'Scenarios technology'!D548)</f>
        <v>0.26034167460007307</v>
      </c>
      <c r="V64" s="6"/>
      <c r="W64" s="6"/>
      <c r="X64" s="6"/>
      <c r="Y64" s="6"/>
      <c r="Z64" s="6"/>
      <c r="AA64" s="6"/>
      <c r="AB64" s="6"/>
      <c r="AC64" s="6"/>
      <c r="AD64" s="6"/>
      <c r="AE64" s="6"/>
      <c r="AF64" s="6"/>
      <c r="AG64" s="6"/>
      <c r="AH64" s="6"/>
      <c r="AI64" s="70"/>
      <c r="AJ64" s="70"/>
      <c r="AK64" s="70"/>
      <c r="AL64" s="70"/>
      <c r="AM64" s="70"/>
      <c r="AP64" s="1695" t="str">
        <f t="shared" si="0"/>
        <v>National cargo sea</v>
      </c>
      <c r="AQ64" s="1696">
        <f>'Scenarios technology'!$D123</f>
        <v>2073</v>
      </c>
      <c r="AR64" s="1823">
        <f t="shared" si="5"/>
        <v>9.4999999999999998E-3</v>
      </c>
      <c r="AS64" s="1824">
        <f t="shared" si="6"/>
        <v>2278.5708383888164</v>
      </c>
      <c r="AT64" s="1825">
        <f t="shared" si="7"/>
        <v>9.4999999999999998E-3</v>
      </c>
      <c r="AU64" s="1698">
        <f t="shared" si="8"/>
        <v>2504.5272868094135</v>
      </c>
      <c r="AV64" s="1823">
        <f t="shared" si="9"/>
        <v>4.7499999999999999E-3</v>
      </c>
      <c r="AW64" s="1699">
        <f t="shared" si="10"/>
        <v>2753.5062396908893</v>
      </c>
      <c r="AX64" s="956"/>
      <c r="AY64" s="1695" t="str">
        <f t="shared" si="37"/>
        <v>National cargo sea</v>
      </c>
      <c r="AZ64" s="1823">
        <f t="shared" si="38"/>
        <v>9.4999999999999998E-3</v>
      </c>
      <c r="BA64" s="1825">
        <f t="shared" si="39"/>
        <v>9.4999999999999998E-3</v>
      </c>
      <c r="BB64" s="1826">
        <f t="shared" si="40"/>
        <v>4.7499999999999999E-3</v>
      </c>
      <c r="BC64" s="956"/>
      <c r="BD64" s="1695" t="str">
        <f t="shared" si="41"/>
        <v>National cargo sea</v>
      </c>
      <c r="BE64" s="1696">
        <f t="shared" si="32"/>
        <v>2073</v>
      </c>
      <c r="BF64" s="1697">
        <f t="shared" si="42"/>
        <v>2278.5708383888164</v>
      </c>
      <c r="BG64" s="1698">
        <f t="shared" si="43"/>
        <v>2504.5272868094135</v>
      </c>
      <c r="BH64" s="1697">
        <f t="shared" si="44"/>
        <v>2629.0167632501516</v>
      </c>
      <c r="BI64" s="1699">
        <f t="shared" si="45"/>
        <v>2753.5062396908893</v>
      </c>
      <c r="BJ64" s="956"/>
      <c r="BK64" s="1853" t="str">
        <f t="shared" si="53"/>
        <v xml:space="preserve">National rail </v>
      </c>
      <c r="BL64" s="1821">
        <f t="shared" si="55"/>
        <v>1.9260050429155153E-3</v>
      </c>
      <c r="BM64" s="1820">
        <f t="shared" si="54"/>
        <v>1.562566102660614E-3</v>
      </c>
      <c r="BN64" s="1821">
        <f t="shared" si="54"/>
        <v>1.2640455899769749E-3</v>
      </c>
      <c r="BO64" s="1821">
        <f t="shared" si="54"/>
        <v>1.1285567792402261E-3</v>
      </c>
      <c r="BP64" s="1822">
        <f t="shared" si="54"/>
        <v>1.0193012898502007E-3</v>
      </c>
      <c r="BQ64" s="956"/>
      <c r="BR64" s="956"/>
      <c r="BS64" s="956"/>
      <c r="BT64" s="956"/>
      <c r="BU64" s="956"/>
      <c r="BV64" s="956"/>
      <c r="BW64" s="956"/>
      <c r="BX64" s="956"/>
      <c r="BY64" s="956"/>
      <c r="BZ64" s="956"/>
      <c r="CA64" s="956"/>
      <c r="CB64" s="956"/>
      <c r="CC64" s="956"/>
      <c r="CD64" s="956"/>
      <c r="CE64" s="956"/>
      <c r="CF64" s="956"/>
      <c r="CG64" s="956"/>
      <c r="CH64" s="956"/>
      <c r="CI64" s="956"/>
      <c r="CJ64" s="956"/>
      <c r="CK64" s="956"/>
      <c r="CL64" s="956"/>
      <c r="CM64" s="956"/>
      <c r="CN64" s="956"/>
      <c r="CO64" s="956"/>
      <c r="CP64" s="956"/>
      <c r="CQ64" s="956"/>
      <c r="CR64" s="956"/>
      <c r="CS64" s="956"/>
      <c r="CT64" s="956"/>
      <c r="CU64" s="956"/>
      <c r="CV64" s="956"/>
      <c r="CW64" s="956"/>
      <c r="CX64" s="956"/>
      <c r="CY64" s="956"/>
      <c r="CZ64" s="956"/>
    </row>
    <row r="65" spans="1:104" ht="16.5" thickBot="1" x14ac:dyDescent="0.3">
      <c r="A65"/>
      <c r="B65" s="129" t="s">
        <v>22</v>
      </c>
      <c r="C65" s="137">
        <v>2.3E-2</v>
      </c>
      <c r="D65" s="110">
        <f t="shared" si="33"/>
        <v>1.2553254600680925</v>
      </c>
      <c r="E65" s="953">
        <v>74935.398013304715</v>
      </c>
      <c r="F65" s="59">
        <f>'Scenarios technology'!D268-E65</f>
        <v>0</v>
      </c>
      <c r="G65" s="133">
        <v>2.3E-2</v>
      </c>
      <c r="H65" s="110">
        <f t="shared" si="34"/>
        <v>1.2553254600680925</v>
      </c>
      <c r="I65" s="111">
        <v>94068.312986437362</v>
      </c>
      <c r="J65" s="59">
        <f>'Scenarios technology'!D408-I65</f>
        <v>0</v>
      </c>
      <c r="K65" s="133">
        <f>G65/2</f>
        <v>1.15E-2</v>
      </c>
      <c r="L65" s="110">
        <f t="shared" si="35"/>
        <v>1.2569492470164139</v>
      </c>
      <c r="M65" s="111">
        <v>118239.09517640679</v>
      </c>
      <c r="N65" s="112">
        <f>'Scenarios technology'!D548-M65</f>
        <v>0</v>
      </c>
      <c r="O65" s="147">
        <f t="shared" si="36"/>
        <v>0.98075342876012339</v>
      </c>
      <c r="Q65" s="3" t="s">
        <v>76</v>
      </c>
      <c r="R65" s="153">
        <f>'Scenarios technology'!D103/('Scenarios technology'!D141-'Scenarios technology'!D73-'Scenarios technology'!D109-'Scenarios technology'!D119-'Scenarios technology'!D128)</f>
        <v>1.0245532656346975E-2</v>
      </c>
      <c r="S65" s="153">
        <f>'Scenarios technology'!D243/('Scenarios technology'!D281-'Scenarios technology'!D213-'Scenarios technology'!D249-'Scenarios technology'!D259-'Scenarios technology'!D268)</f>
        <v>8.3809276430226905E-3</v>
      </c>
      <c r="T65" s="153">
        <f>'Scenarios technology'!D383/('Scenarios technology'!D421-'Scenarios technology'!D353-'Scenarios technology'!D389-'Scenarios technology'!D399-'Scenarios technology'!D408)</f>
        <v>6.844201774872786E-3</v>
      </c>
      <c r="U65" s="154">
        <f>'Scenarios technology'!D523/('Scenarios technology'!D561-'Scenarios technology'!D493-'Scenarios technology'!D529-'Scenarios technology'!D539-'Scenarios technology'!D548)</f>
        <v>5.5727255753667184E-3</v>
      </c>
      <c r="V65" s="6"/>
      <c r="W65" s="6"/>
      <c r="X65" s="6"/>
      <c r="Y65" s="6"/>
      <c r="Z65" s="6"/>
      <c r="AA65" s="6"/>
      <c r="AB65" s="6"/>
      <c r="AC65" s="6"/>
      <c r="AD65" s="6"/>
      <c r="AE65" s="6"/>
      <c r="AF65" s="6"/>
      <c r="AG65" s="6"/>
      <c r="AH65" s="6"/>
      <c r="AI65" s="70"/>
      <c r="AJ65" s="70"/>
      <c r="AK65" s="70"/>
      <c r="AL65" s="70"/>
      <c r="AM65" s="70"/>
      <c r="AP65" s="1695" t="str">
        <f t="shared" si="0"/>
        <v>International cargo sea</v>
      </c>
      <c r="AQ65" s="1696">
        <f>'Scenarios technology'!$D128</f>
        <v>59694</v>
      </c>
      <c r="AR65" s="1858">
        <f t="shared" si="5"/>
        <v>2.3E-2</v>
      </c>
      <c r="AS65" s="1859">
        <f t="shared" si="6"/>
        <v>74935.398013304715</v>
      </c>
      <c r="AT65" s="1860">
        <f t="shared" si="7"/>
        <v>2.3E-2</v>
      </c>
      <c r="AU65" s="1767">
        <f t="shared" si="8"/>
        <v>94068.312986437362</v>
      </c>
      <c r="AV65" s="1858">
        <f t="shared" si="9"/>
        <v>1.15E-2</v>
      </c>
      <c r="AW65" s="1768">
        <f t="shared" si="10"/>
        <v>118239.09517640679</v>
      </c>
      <c r="AX65" s="956"/>
      <c r="AY65" s="1695" t="str">
        <f t="shared" si="37"/>
        <v>International cargo sea</v>
      </c>
      <c r="AZ65" s="1858">
        <f t="shared" si="38"/>
        <v>2.3E-2</v>
      </c>
      <c r="BA65" s="1860">
        <f t="shared" si="39"/>
        <v>2.3E-2</v>
      </c>
      <c r="BB65" s="1861">
        <f t="shared" si="40"/>
        <v>1.15E-2</v>
      </c>
      <c r="BC65" s="956"/>
      <c r="BD65" s="1695" t="str">
        <f t="shared" si="41"/>
        <v>International cargo sea</v>
      </c>
      <c r="BE65" s="1765">
        <f t="shared" si="32"/>
        <v>59694</v>
      </c>
      <c r="BF65" s="1766">
        <f t="shared" si="42"/>
        <v>74935.398013304715</v>
      </c>
      <c r="BG65" s="1767">
        <f t="shared" si="43"/>
        <v>94068.312986437362</v>
      </c>
      <c r="BH65" s="1766">
        <f t="shared" si="44"/>
        <v>106153.70408142207</v>
      </c>
      <c r="BI65" s="1768">
        <f t="shared" si="45"/>
        <v>118239.09517640679</v>
      </c>
      <c r="BJ65" s="956"/>
      <c r="BK65" s="1853" t="str">
        <f t="shared" si="53"/>
        <v>International rail (electricity)</v>
      </c>
      <c r="BL65" s="1821">
        <f t="shared" si="55"/>
        <v>4.3594605162997893E-3</v>
      </c>
      <c r="BM65" s="1820">
        <f t="shared" si="54"/>
        <v>4.4398680624316966E-3</v>
      </c>
      <c r="BN65" s="1821">
        <f t="shared" si="54"/>
        <v>4.5086937872888481E-3</v>
      </c>
      <c r="BO65" s="1821">
        <f t="shared" si="54"/>
        <v>4.5425865868628408E-3</v>
      </c>
      <c r="BP65" s="1822">
        <f t="shared" si="54"/>
        <v>4.5699170681337224E-3</v>
      </c>
      <c r="BQ65" s="956"/>
      <c r="BR65" s="956"/>
      <c r="BS65" s="956"/>
      <c r="BT65" s="956"/>
      <c r="BU65" s="956"/>
      <c r="BV65" s="956"/>
      <c r="BW65" s="956"/>
      <c r="BX65" s="956"/>
      <c r="BY65" s="956"/>
      <c r="BZ65" s="956"/>
      <c r="CA65" s="956"/>
      <c r="CB65" s="956"/>
      <c r="CC65" s="956"/>
      <c r="CD65" s="956"/>
      <c r="CE65" s="956"/>
      <c r="CF65" s="956"/>
      <c r="CG65" s="956"/>
      <c r="CH65" s="956"/>
      <c r="CI65" s="956"/>
      <c r="CJ65" s="956"/>
      <c r="CK65" s="956"/>
      <c r="CL65" s="956"/>
      <c r="CM65" s="956"/>
      <c r="CN65" s="956"/>
      <c r="CO65" s="956"/>
      <c r="CP65" s="956"/>
      <c r="CQ65" s="956"/>
      <c r="CR65" s="956"/>
      <c r="CS65" s="956"/>
      <c r="CT65" s="956"/>
      <c r="CU65" s="956"/>
      <c r="CV65" s="956"/>
      <c r="CW65" s="956"/>
      <c r="CX65" s="956"/>
      <c r="CY65" s="956"/>
      <c r="CZ65" s="956"/>
    </row>
    <row r="66" spans="1:104" ht="16.5" thickBot="1" x14ac:dyDescent="0.3">
      <c r="A66"/>
      <c r="B66" s="138" t="s">
        <v>111</v>
      </c>
      <c r="C66" s="2" t="s">
        <v>114</v>
      </c>
      <c r="D66" s="2"/>
      <c r="E66" s="2"/>
      <c r="F66" s="2"/>
      <c r="G66" s="151"/>
      <c r="H66" s="2"/>
      <c r="I66" s="2"/>
      <c r="J66" s="2"/>
      <c r="K66" s="151"/>
      <c r="L66" s="2"/>
      <c r="M66" s="2"/>
      <c r="N66" s="140"/>
      <c r="O66" s="149"/>
      <c r="Q66" s="3" t="s">
        <v>77</v>
      </c>
      <c r="R66" s="153">
        <f>'Scenarios technology'!D123/('Scenarios technology'!D141-'Scenarios technology'!D73-'Scenarios technology'!D109-'Scenarios technology'!D119-'Scenarios technology'!D128)</f>
        <v>0.1271795760275885</v>
      </c>
      <c r="S66" s="153">
        <f>'Scenarios technology'!D263/('Scenarios technology'!D281-'Scenarios technology'!D213-'Scenarios technology'!D249-'Scenarios technology'!D259-'Scenarios technology'!D268)</f>
        <v>0.11435052291040849</v>
      </c>
      <c r="T66" s="153">
        <f>'Scenarios technology'!D403/('Scenarios technology'!D421-'Scenarios technology'!D353-'Scenarios technology'!D389-'Scenarios technology'!D399-'Scenarios technology'!D408)</f>
        <v>0.1026436533029839</v>
      </c>
      <c r="U66" s="154">
        <f>'Scenarios technology'!D543/('Scenarios technology'!D561-'Scenarios technology'!D493-'Scenarios technology'!D529-'Scenarios technology'!D539-'Scenarios technology'!D548)</f>
        <v>9.1883440981181203E-2</v>
      </c>
      <c r="V66" s="6"/>
      <c r="W66" s="6"/>
      <c r="X66" s="6"/>
      <c r="Y66" s="6"/>
      <c r="Z66" s="6"/>
      <c r="AA66" s="6"/>
      <c r="AB66" s="6"/>
      <c r="AC66" s="6"/>
      <c r="AD66" s="6"/>
      <c r="AE66" s="6"/>
      <c r="AF66" s="6"/>
      <c r="AG66" s="6"/>
      <c r="AH66" s="6"/>
      <c r="AI66" s="70"/>
      <c r="AJ66" s="70"/>
      <c r="AK66" s="70"/>
      <c r="AL66" s="70"/>
      <c r="AM66" s="70"/>
      <c r="AP66" s="1862" t="str">
        <f t="shared" si="0"/>
        <v>Other</v>
      </c>
      <c r="AQ66" s="1696" t="str">
        <f>'Scenarios technology'!$D133</f>
        <v>N/A</v>
      </c>
      <c r="AR66" s="1864" t="str">
        <f t="shared" si="5"/>
        <v>N/A</v>
      </c>
      <c r="AS66" s="1817">
        <f t="shared" si="6"/>
        <v>0</v>
      </c>
      <c r="AT66" s="1865">
        <f t="shared" si="7"/>
        <v>0</v>
      </c>
      <c r="AU66" s="1866">
        <f t="shared" si="8"/>
        <v>0</v>
      </c>
      <c r="AV66" s="1864">
        <f t="shared" si="9"/>
        <v>0</v>
      </c>
      <c r="AW66" s="1819">
        <f t="shared" si="10"/>
        <v>0</v>
      </c>
      <c r="AX66" s="956"/>
      <c r="AY66" s="1862" t="str">
        <f t="shared" si="37"/>
        <v>Other</v>
      </c>
      <c r="AZ66" s="1864" t="str">
        <f t="shared" si="38"/>
        <v>N/A</v>
      </c>
      <c r="BA66" s="1865">
        <f t="shared" si="39"/>
        <v>0</v>
      </c>
      <c r="BB66" s="1867">
        <f t="shared" si="40"/>
        <v>0</v>
      </c>
      <c r="BC66" s="956"/>
      <c r="BD66" s="1862" t="str">
        <f t="shared" si="41"/>
        <v>Other</v>
      </c>
      <c r="BE66" s="1863" t="str">
        <f t="shared" si="32"/>
        <v>N/A</v>
      </c>
      <c r="BF66" s="1818">
        <f t="shared" si="42"/>
        <v>0</v>
      </c>
      <c r="BG66" s="1866">
        <f t="shared" si="43"/>
        <v>0</v>
      </c>
      <c r="BH66" s="1818">
        <f t="shared" si="44"/>
        <v>0</v>
      </c>
      <c r="BI66" s="1819">
        <f t="shared" si="45"/>
        <v>0</v>
      </c>
      <c r="BJ66" s="956"/>
      <c r="BK66" s="1853" t="str">
        <f t="shared" si="53"/>
        <v>National cargo air</v>
      </c>
      <c r="BL66" s="1821">
        <f t="shared" si="55"/>
        <v>1.276699151202081E-5</v>
      </c>
      <c r="BM66" s="1820">
        <f t="shared" si="54"/>
        <v>1.0357848357157484E-5</v>
      </c>
      <c r="BN66" s="1821">
        <f t="shared" si="54"/>
        <v>8.379032743140785E-6</v>
      </c>
      <c r="BO66" s="1821">
        <f t="shared" si="54"/>
        <v>7.4809123031073666E-6</v>
      </c>
      <c r="BP66" s="1822">
        <f t="shared" si="54"/>
        <v>6.7566857955938449E-6</v>
      </c>
      <c r="BQ66" s="956"/>
      <c r="BR66" s="956"/>
      <c r="BS66" s="956"/>
      <c r="BT66" s="956"/>
      <c r="BU66" s="956"/>
      <c r="BV66" s="956"/>
      <c r="BW66" s="956"/>
      <c r="BX66" s="956"/>
      <c r="BY66" s="956"/>
      <c r="BZ66" s="956"/>
      <c r="CA66" s="956"/>
      <c r="CB66" s="956"/>
      <c r="CC66" s="956"/>
      <c r="CD66" s="956"/>
      <c r="CE66" s="956"/>
      <c r="CF66" s="956"/>
      <c r="CG66" s="956"/>
      <c r="CH66" s="956"/>
      <c r="CI66" s="956"/>
      <c r="CJ66" s="956"/>
      <c r="CK66" s="956"/>
      <c r="CL66" s="956"/>
      <c r="CM66" s="956"/>
      <c r="CN66" s="956"/>
      <c r="CO66" s="956"/>
      <c r="CP66" s="956"/>
      <c r="CQ66" s="956"/>
      <c r="CR66" s="956"/>
      <c r="CS66" s="956"/>
      <c r="CT66" s="956"/>
      <c r="CU66" s="956"/>
      <c r="CV66" s="956"/>
      <c r="CW66" s="956"/>
      <c r="CX66" s="956"/>
      <c r="CY66" s="956"/>
      <c r="CZ66" s="956"/>
    </row>
    <row r="67" spans="1:104" ht="16.5" thickBot="1" x14ac:dyDescent="0.3">
      <c r="A67"/>
      <c r="B67" s="139" t="s">
        <v>0</v>
      </c>
      <c r="C67" s="137">
        <f>('Scenarios technology'!D281/'Scenarios technology'!D141)^(1/10)-1</f>
        <v>2.1132037359751221E-2</v>
      </c>
      <c r="D67" s="141">
        <f>(1+C67)^$D$4</f>
        <v>1.2325910818339567</v>
      </c>
      <c r="E67" s="142">
        <v>106875.47855776828</v>
      </c>
      <c r="F67" s="144">
        <f>'Scenarios technology'!D281-E67</f>
        <v>0</v>
      </c>
      <c r="G67" s="133">
        <f>('Scenarios technology'!D421/'Scenarios technology'!D281)^(1/10)-1</f>
        <v>2.1427546715225176E-2</v>
      </c>
      <c r="H67" s="141">
        <f>(1+G67)^$H$4</f>
        <v>1.2361627737565049</v>
      </c>
      <c r="I67" s="142">
        <v>132115.48802052462</v>
      </c>
      <c r="J67" s="144">
        <f>'Scenarios technology'!D421-I67</f>
        <v>0</v>
      </c>
      <c r="K67" s="133">
        <f>('Scenarios technology'!D561/'Scenarios technology'!D421)^(1/20)-1</f>
        <v>1.081809600074668E-2</v>
      </c>
      <c r="L67" s="141">
        <f>(1+K67)^$L$4</f>
        <v>1.2401098699313378</v>
      </c>
      <c r="M67" s="142">
        <v>163837.7206650477</v>
      </c>
      <c r="N67" s="143">
        <f>'Scenarios technology'!D561-M67</f>
        <v>0</v>
      </c>
      <c r="O67" s="150">
        <f>(((1+C67)^$D$4)*((1+G67)^$H$4)*((1+K67)^$L$4))-1</f>
        <v>0.88953458814770192</v>
      </c>
      <c r="Q67" s="11" t="s">
        <v>107</v>
      </c>
      <c r="R67" s="155">
        <f>'Scenarios technology'!D115/('Scenarios technology'!D141-'Scenarios technology'!D73-'Scenarios technology'!D109-'Scenarios technology'!D119-'Scenarios technology'!D128)</f>
        <v>6.7914997907641327E-5</v>
      </c>
      <c r="S67" s="155">
        <f>'Scenarios technology'!D255/('Scenarios technology'!D281-'Scenarios technology'!D213-'Scenarios technology'!D249-'Scenarios technology'!D259-'Scenarios technology'!D268)</f>
        <v>5.5555011382192327E-5</v>
      </c>
      <c r="T67" s="155">
        <f>'Scenarios technology'!D395/('Scenarios technology'!D421-'Scenarios technology'!D353-'Scenarios technology'!D389-'Scenarios technology'!D399-'Scenarios technology'!D408)</f>
        <v>4.5368451286132782E-5</v>
      </c>
      <c r="U67" s="156">
        <f>'Scenarios technology'!D535/('Scenarios technology'!D561-'Scenarios technology'!D493-'Scenarios technology'!D529-'Scenarios technology'!D539-'Scenarios technology'!D548)</f>
        <v>3.6940162945694354E-5</v>
      </c>
      <c r="V67" s="6"/>
      <c r="W67" s="6"/>
      <c r="X67" s="6"/>
      <c r="Y67" s="6"/>
      <c r="Z67" s="6"/>
      <c r="AA67" s="6"/>
      <c r="AB67" s="6"/>
      <c r="AC67" s="6"/>
      <c r="AD67" s="6"/>
      <c r="AE67" s="6"/>
      <c r="AF67" s="6"/>
      <c r="AG67" s="6"/>
      <c r="AH67" s="6"/>
      <c r="AI67" s="70"/>
      <c r="AJ67" s="70"/>
      <c r="AK67" s="70"/>
      <c r="AL67" s="70"/>
      <c r="AM67" s="70"/>
      <c r="AP67" s="1727" t="str">
        <f t="shared" si="0"/>
        <v>Total</v>
      </c>
      <c r="AQ67" s="1696">
        <f>'Scenarios technology'!$D141</f>
        <v>86707.976500000004</v>
      </c>
      <c r="AR67" s="1868">
        <f t="shared" si="5"/>
        <v>2.1132037359751221E-2</v>
      </c>
      <c r="AS67" s="1869">
        <f t="shared" si="6"/>
        <v>106875.47855776828</v>
      </c>
      <c r="AT67" s="1870">
        <f t="shared" si="7"/>
        <v>2.1427546715225176E-2</v>
      </c>
      <c r="AU67" s="1776">
        <f t="shared" si="8"/>
        <v>132115.48802052462</v>
      </c>
      <c r="AV67" s="1868">
        <f t="shared" si="9"/>
        <v>1.081809600074668E-2</v>
      </c>
      <c r="AW67" s="1777">
        <f t="shared" si="10"/>
        <v>163837.7206650477</v>
      </c>
      <c r="AX67" s="956"/>
      <c r="AY67" s="1727" t="str">
        <f t="shared" si="37"/>
        <v>Total</v>
      </c>
      <c r="AZ67" s="1868">
        <f t="shared" si="38"/>
        <v>2.1132037359751221E-2</v>
      </c>
      <c r="BA67" s="1870">
        <f t="shared" si="39"/>
        <v>2.1427546715225176E-2</v>
      </c>
      <c r="BB67" s="1871">
        <f t="shared" si="40"/>
        <v>1.081809600074668E-2</v>
      </c>
      <c r="BC67" s="956"/>
      <c r="BD67" s="1727" t="str">
        <f t="shared" si="41"/>
        <v>Total</v>
      </c>
      <c r="BE67" s="1774">
        <f t="shared" si="32"/>
        <v>86707.976500000004</v>
      </c>
      <c r="BF67" s="1775">
        <f t="shared" si="42"/>
        <v>106875.47855776828</v>
      </c>
      <c r="BG67" s="1776">
        <f t="shared" si="43"/>
        <v>132115.48802052462</v>
      </c>
      <c r="BH67" s="1775">
        <f t="shared" si="44"/>
        <v>147976.60434278616</v>
      </c>
      <c r="BI67" s="1777">
        <f t="shared" si="45"/>
        <v>163837.7206650477</v>
      </c>
      <c r="BJ67" s="956"/>
      <c r="BK67" s="1853" t="str">
        <f t="shared" si="53"/>
        <v>Internationa cargo air</v>
      </c>
      <c r="BL67" s="1821">
        <f t="shared" si="55"/>
        <v>6.7813830253552277E-3</v>
      </c>
      <c r="BM67" s="1820">
        <f t="shared" si="54"/>
        <v>6.9064614304493064E-3</v>
      </c>
      <c r="BN67" s="1821">
        <f t="shared" si="54"/>
        <v>7.0135236691159855E-3</v>
      </c>
      <c r="BO67" s="1821">
        <f t="shared" si="54"/>
        <v>7.0662458017866419E-3</v>
      </c>
      <c r="BP67" s="1822">
        <f t="shared" si="54"/>
        <v>7.1087598837635676E-3</v>
      </c>
      <c r="BQ67" s="956"/>
      <c r="BR67" s="956"/>
      <c r="BS67" s="956"/>
      <c r="BT67" s="956"/>
      <c r="BU67" s="956"/>
      <c r="BV67" s="956"/>
      <c r="BW67" s="956"/>
      <c r="BX67" s="956"/>
      <c r="BY67" s="956"/>
      <c r="BZ67" s="956"/>
      <c r="CA67" s="956"/>
      <c r="CB67" s="956"/>
      <c r="CC67" s="956"/>
      <c r="CD67" s="956"/>
      <c r="CE67" s="956"/>
      <c r="CF67" s="956"/>
      <c r="CG67" s="956"/>
      <c r="CH67" s="956"/>
      <c r="CI67" s="956"/>
      <c r="CJ67" s="956"/>
      <c r="CK67" s="956"/>
      <c r="CL67" s="956"/>
      <c r="CM67" s="956"/>
      <c r="CN67" s="956"/>
      <c r="CO67" s="956"/>
      <c r="CP67" s="956"/>
      <c r="CQ67" s="956"/>
      <c r="CR67" s="956"/>
      <c r="CS67" s="956"/>
      <c r="CT67" s="956"/>
      <c r="CU67" s="956"/>
      <c r="CV67" s="956"/>
      <c r="CW67" s="956"/>
      <c r="CX67" s="956"/>
      <c r="CY67" s="956"/>
      <c r="CZ67" s="956"/>
    </row>
    <row r="68" spans="1:104" ht="15.75" thickBot="1" x14ac:dyDescent="0.3">
      <c r="A68"/>
      <c r="Q68" s="73"/>
      <c r="R68" s="73"/>
      <c r="S68" s="73"/>
      <c r="T68" s="73"/>
      <c r="V68" s="6"/>
      <c r="W68" s="6"/>
      <c r="X68" s="6"/>
      <c r="Y68" s="6"/>
      <c r="Z68" s="6"/>
      <c r="AA68" s="6"/>
      <c r="AB68" s="6"/>
      <c r="AC68" s="6"/>
      <c r="AD68" s="6"/>
      <c r="AE68" s="6"/>
      <c r="AF68" s="6"/>
      <c r="AG68" s="6"/>
      <c r="AH68" s="6"/>
      <c r="AI68" s="70"/>
      <c r="AJ68" s="70"/>
      <c r="AK68" s="70"/>
      <c r="AL68" s="70"/>
      <c r="AM68" s="70"/>
      <c r="AP68" s="1872"/>
      <c r="AQ68" s="1872"/>
      <c r="AR68" s="1872"/>
      <c r="AS68" s="1872"/>
      <c r="AT68" s="1872"/>
      <c r="AU68" s="1872"/>
      <c r="AV68" s="1872"/>
      <c r="AW68" s="1785"/>
      <c r="AX68" s="956"/>
      <c r="AY68" s="1872"/>
      <c r="AZ68" s="1872"/>
      <c r="BA68" s="1872"/>
      <c r="BB68" s="1872"/>
      <c r="BC68" s="956"/>
      <c r="BD68" s="1872"/>
      <c r="BE68" s="1872"/>
      <c r="BF68" s="1872"/>
      <c r="BG68" s="1872"/>
      <c r="BH68" s="1872"/>
      <c r="BI68" s="1785"/>
      <c r="BJ68" s="956"/>
      <c r="BK68" s="1853" t="str">
        <f t="shared" si="53"/>
        <v>National cargo sea</v>
      </c>
      <c r="BL68" s="1821">
        <f t="shared" si="55"/>
        <v>2.3907835053675826E-2</v>
      </c>
      <c r="BM68" s="1820">
        <f t="shared" si="54"/>
        <v>2.1319865596271501E-2</v>
      </c>
      <c r="BN68" s="1821">
        <f t="shared" si="54"/>
        <v>1.8957105819571482E-2</v>
      </c>
      <c r="BO68" s="1821">
        <f t="shared" si="54"/>
        <v>1.7766435274863206E-2</v>
      </c>
      <c r="BP68" s="1822">
        <f t="shared" si="54"/>
        <v>1.6806302166032929E-2</v>
      </c>
      <c r="BQ68" s="956"/>
      <c r="BR68" s="956"/>
      <c r="BS68" s="956"/>
      <c r="BT68" s="956"/>
      <c r="BU68" s="956"/>
      <c r="BV68" s="956"/>
      <c r="BW68" s="956"/>
      <c r="BX68" s="956"/>
      <c r="BY68" s="956"/>
      <c r="BZ68" s="956"/>
      <c r="CA68" s="956"/>
      <c r="CB68" s="956"/>
      <c r="CC68" s="956"/>
      <c r="CD68" s="956"/>
      <c r="CE68" s="956"/>
      <c r="CF68" s="956"/>
      <c r="CG68" s="956"/>
      <c r="CH68" s="956"/>
      <c r="CI68" s="956"/>
      <c r="CJ68" s="956"/>
      <c r="CK68" s="956"/>
      <c r="CL68" s="956"/>
      <c r="CM68" s="956"/>
      <c r="CN68" s="956"/>
      <c r="CO68" s="956"/>
      <c r="CP68" s="956"/>
      <c r="CQ68" s="956"/>
      <c r="CR68" s="956"/>
      <c r="CS68" s="956"/>
      <c r="CT68" s="956"/>
      <c r="CU68" s="956"/>
      <c r="CV68" s="956"/>
      <c r="CW68" s="956"/>
      <c r="CX68" s="956"/>
      <c r="CY68" s="956"/>
      <c r="CZ68" s="956"/>
    </row>
    <row r="69" spans="1:104" ht="15.75" thickBot="1" x14ac:dyDescent="0.3">
      <c r="A69"/>
      <c r="Q69" s="170" t="s">
        <v>137</v>
      </c>
      <c r="R69" s="166">
        <v>2010</v>
      </c>
      <c r="S69" s="166">
        <v>2020</v>
      </c>
      <c r="T69" s="166">
        <v>2030</v>
      </c>
      <c r="U69" s="167">
        <v>2050</v>
      </c>
      <c r="V69" s="6"/>
      <c r="W69" s="6"/>
      <c r="X69" s="6"/>
      <c r="Y69" s="6"/>
      <c r="Z69" s="6"/>
      <c r="AA69" s="6"/>
      <c r="AB69" s="6"/>
      <c r="AC69" s="6"/>
      <c r="AD69" s="6"/>
      <c r="AE69" s="6"/>
      <c r="AF69" s="6"/>
      <c r="AG69" s="6"/>
      <c r="AH69" s="6"/>
      <c r="AI69" s="70"/>
      <c r="AJ69" s="70"/>
      <c r="AK69" s="70"/>
      <c r="AL69" s="70"/>
      <c r="AM69" s="70"/>
      <c r="AP69" s="1872"/>
      <c r="AQ69" s="1872"/>
      <c r="AR69" s="1872"/>
      <c r="AS69" s="1872"/>
      <c r="AT69" s="1872"/>
      <c r="AU69" s="1872"/>
      <c r="AV69" s="1872"/>
      <c r="AW69" s="1785"/>
      <c r="AX69" s="956"/>
      <c r="AY69" s="1872"/>
      <c r="AZ69" s="1872"/>
      <c r="BA69" s="1872"/>
      <c r="BB69" s="1872"/>
      <c r="BC69" s="956"/>
      <c r="BD69" s="1872"/>
      <c r="BE69" s="1872"/>
      <c r="BF69" s="1872"/>
      <c r="BG69" s="1872"/>
      <c r="BH69" s="1872"/>
      <c r="BI69" s="1785"/>
      <c r="BJ69" s="956"/>
      <c r="BK69" s="1855" t="str">
        <f t="shared" si="53"/>
        <v>International cargo sea</v>
      </c>
      <c r="BL69" s="1832">
        <f t="shared" si="55"/>
        <v>0.68844877264550164</v>
      </c>
      <c r="BM69" s="1831">
        <f t="shared" si="54"/>
        <v>0.70114678338306269</v>
      </c>
      <c r="BN69" s="1832">
        <f t="shared" si="54"/>
        <v>0.7120157855513769</v>
      </c>
      <c r="BO69" s="1832">
        <f t="shared" si="54"/>
        <v>0.71736815797933973</v>
      </c>
      <c r="BP69" s="1833">
        <f t="shared" si="54"/>
        <v>0.72168420493432384</v>
      </c>
      <c r="BQ69" s="956"/>
      <c r="BR69" s="956"/>
      <c r="BS69" s="956"/>
      <c r="BT69" s="956"/>
      <c r="BU69" s="956"/>
      <c r="BV69" s="956"/>
      <c r="BW69" s="956"/>
      <c r="BX69" s="956"/>
      <c r="BY69" s="956"/>
      <c r="BZ69" s="956"/>
      <c r="CA69" s="956"/>
      <c r="CB69" s="956"/>
      <c r="CC69" s="956"/>
      <c r="CD69" s="956"/>
      <c r="CE69" s="956"/>
      <c r="CF69" s="956"/>
      <c r="CG69" s="956"/>
      <c r="CH69" s="956"/>
      <c r="CI69" s="956"/>
      <c r="CJ69" s="956"/>
      <c r="CK69" s="956"/>
      <c r="CL69" s="956"/>
      <c r="CM69" s="956"/>
      <c r="CN69" s="956"/>
      <c r="CO69" s="956"/>
      <c r="CP69" s="956"/>
      <c r="CQ69" s="956"/>
      <c r="CR69" s="956"/>
      <c r="CS69" s="956"/>
      <c r="CT69" s="956"/>
      <c r="CU69" s="956"/>
      <c r="CV69" s="956"/>
      <c r="CW69" s="956"/>
      <c r="CX69" s="956"/>
      <c r="CY69" s="956"/>
      <c r="CZ69" s="956"/>
    </row>
    <row r="70" spans="1:104" ht="27.75" thickTop="1" thickBot="1" x14ac:dyDescent="0.45">
      <c r="A70"/>
      <c r="B70" s="202" t="s">
        <v>167</v>
      </c>
      <c r="C70" s="206"/>
      <c r="D70" s="207"/>
      <c r="E70" s="208"/>
      <c r="F70" s="207"/>
      <c r="G70" s="209"/>
      <c r="H70" s="206"/>
      <c r="I70" s="206"/>
      <c r="J70" s="206"/>
      <c r="K70" s="206"/>
      <c r="L70" s="210"/>
      <c r="Q70" s="168" t="s">
        <v>144</v>
      </c>
      <c r="R70" s="172">
        <f>(E47+F47)/D47+(E51+F51)/D51</f>
        <v>19750.369499999997</v>
      </c>
      <c r="S70" s="172">
        <f>E47+E51+F47+F51</f>
        <v>23238.089587674425</v>
      </c>
      <c r="T70" s="172">
        <f>I47+I51+J47+J51</f>
        <v>27583.694138087914</v>
      </c>
      <c r="U70" s="173">
        <f>M47+M51+N47+N51</f>
        <v>32961.845841226081</v>
      </c>
      <c r="V70" s="6"/>
      <c r="W70" s="6"/>
      <c r="X70" s="6"/>
      <c r="Y70" s="6"/>
      <c r="Z70" s="6"/>
      <c r="AA70" s="6"/>
      <c r="AB70" s="6"/>
      <c r="AC70" s="6"/>
      <c r="AD70" s="6"/>
      <c r="AE70" s="6"/>
      <c r="AF70" s="6"/>
      <c r="AG70" s="6"/>
      <c r="AH70" s="6"/>
      <c r="AI70" s="70"/>
      <c r="AJ70" s="70"/>
      <c r="AK70" s="70"/>
      <c r="AL70" s="70"/>
      <c r="AM70" s="70"/>
      <c r="AP70" s="1872"/>
      <c r="AQ70" s="1872"/>
      <c r="AR70" s="1872"/>
      <c r="AS70" s="1872"/>
      <c r="AT70" s="1872"/>
      <c r="AU70" s="1872"/>
      <c r="AV70" s="1872"/>
      <c r="AW70" s="1785"/>
      <c r="AX70" s="956"/>
      <c r="AY70" s="1872"/>
      <c r="AZ70" s="1872"/>
      <c r="BA70" s="1872"/>
      <c r="BB70" s="1872"/>
      <c r="BC70" s="956"/>
      <c r="BD70" s="1872"/>
      <c r="BE70" s="1872"/>
      <c r="BF70" s="1872"/>
      <c r="BG70" s="1872"/>
      <c r="BH70" s="1872"/>
      <c r="BI70" s="1785"/>
      <c r="BJ70" s="956"/>
      <c r="BK70" s="1856" t="str">
        <f t="shared" si="53"/>
        <v>Total</v>
      </c>
      <c r="BL70" s="1835">
        <f t="shared" si="55"/>
        <v>1</v>
      </c>
      <c r="BM70" s="1834">
        <f t="shared" si="54"/>
        <v>1</v>
      </c>
      <c r="BN70" s="1835">
        <f t="shared" si="54"/>
        <v>1</v>
      </c>
      <c r="BO70" s="1835">
        <f t="shared" si="54"/>
        <v>1</v>
      </c>
      <c r="BP70" s="1836">
        <f t="shared" si="54"/>
        <v>1</v>
      </c>
      <c r="BQ70" s="956"/>
      <c r="BR70" s="956"/>
      <c r="BS70" s="956"/>
      <c r="BT70" s="956"/>
      <c r="BU70" s="956"/>
      <c r="BV70" s="956"/>
      <c r="BW70" s="956"/>
      <c r="BX70" s="956"/>
      <c r="BY70" s="956"/>
      <c r="BZ70" s="956"/>
      <c r="CA70" s="956"/>
      <c r="CB70" s="956"/>
      <c r="CC70" s="956"/>
      <c r="CD70" s="956"/>
      <c r="CE70" s="956"/>
      <c r="CF70" s="956"/>
      <c r="CG70" s="956"/>
      <c r="CH70" s="956"/>
      <c r="CI70" s="956"/>
      <c r="CJ70" s="956"/>
      <c r="CK70" s="956"/>
      <c r="CL70" s="956"/>
      <c r="CM70" s="956"/>
      <c r="CN70" s="956"/>
      <c r="CO70" s="956"/>
      <c r="CP70" s="956"/>
      <c r="CQ70" s="956"/>
      <c r="CR70" s="956"/>
      <c r="CS70" s="956"/>
      <c r="CT70" s="956"/>
      <c r="CU70" s="956"/>
      <c r="CV70" s="956"/>
      <c r="CW70" s="956"/>
      <c r="CX70" s="956"/>
      <c r="CY70" s="956"/>
      <c r="CZ70" s="956"/>
    </row>
    <row r="71" spans="1:104" ht="15.75" thickBot="1" x14ac:dyDescent="0.3">
      <c r="A71"/>
      <c r="B71" s="70"/>
      <c r="Q71" s="168" t="s">
        <v>143</v>
      </c>
      <c r="R71" s="172">
        <f>(E55+F55)/D55</f>
        <v>4056.5</v>
      </c>
      <c r="S71" s="172">
        <f>E55+F55</f>
        <v>5042.6687239745506</v>
      </c>
      <c r="T71" s="172">
        <f>I55+J55</f>
        <v>6268.5832268584054</v>
      </c>
      <c r="U71" s="898">
        <f>M55+N55</f>
        <v>7801.7585955416707</v>
      </c>
      <c r="V71" s="6"/>
      <c r="W71" s="6"/>
      <c r="X71" s="6"/>
      <c r="Y71" s="6"/>
      <c r="Z71" s="6"/>
      <c r="AA71" s="6"/>
      <c r="AB71" s="6"/>
      <c r="AC71" s="6"/>
      <c r="AD71" s="6"/>
      <c r="AE71" s="6"/>
      <c r="AF71" s="6"/>
      <c r="AG71" s="6"/>
      <c r="AH71" s="6"/>
      <c r="AI71" s="70"/>
      <c r="AJ71" s="70"/>
      <c r="AK71" s="70"/>
      <c r="AL71" s="70"/>
      <c r="AM71" s="70"/>
      <c r="AP71" s="1872"/>
      <c r="AQ71" s="1872"/>
      <c r="AR71" s="1872"/>
      <c r="AS71" s="1872"/>
      <c r="AT71" s="1872"/>
      <c r="AU71" s="1872"/>
      <c r="AV71" s="1872"/>
      <c r="AW71" s="1785"/>
      <c r="AX71" s="956"/>
      <c r="AY71" s="1872"/>
      <c r="AZ71" s="1872"/>
      <c r="BA71" s="1872"/>
      <c r="BB71" s="1872"/>
      <c r="BC71" s="956"/>
      <c r="BD71" s="1872"/>
      <c r="BE71" s="1872"/>
      <c r="BF71" s="1872"/>
      <c r="BG71" s="1872"/>
      <c r="BH71" s="1872"/>
      <c r="BI71" s="1785"/>
      <c r="BJ71" s="956"/>
      <c r="BK71" s="956"/>
      <c r="BL71" s="956"/>
      <c r="BM71" s="956"/>
      <c r="BN71" s="956"/>
      <c r="BO71" s="956"/>
      <c r="BP71" s="956"/>
      <c r="BQ71" s="956"/>
      <c r="BR71" s="956"/>
      <c r="BS71" s="956"/>
      <c r="BT71" s="956"/>
      <c r="BU71" s="956"/>
      <c r="BV71" s="956"/>
      <c r="BW71" s="956"/>
      <c r="BX71" s="956"/>
      <c r="BY71" s="956"/>
      <c r="BZ71" s="956"/>
      <c r="CA71" s="956"/>
      <c r="CB71" s="956"/>
      <c r="CC71" s="956"/>
      <c r="CD71" s="956"/>
      <c r="CE71" s="956"/>
      <c r="CF71" s="956"/>
      <c r="CG71" s="956"/>
      <c r="CH71" s="956"/>
      <c r="CI71" s="956"/>
      <c r="CJ71" s="956"/>
      <c r="CK71" s="956"/>
      <c r="CL71" s="956"/>
      <c r="CM71" s="956"/>
      <c r="CN71" s="956"/>
      <c r="CO71" s="956"/>
      <c r="CP71" s="956"/>
      <c r="CQ71" s="956"/>
      <c r="CR71" s="956"/>
      <c r="CS71" s="956"/>
      <c r="CT71" s="956"/>
      <c r="CU71" s="956"/>
      <c r="CV71" s="956"/>
      <c r="CW71" s="956"/>
      <c r="CX71" s="956"/>
      <c r="CY71" s="956"/>
      <c r="CZ71" s="956"/>
    </row>
    <row r="72" spans="1:104" ht="19.5" thickBot="1" x14ac:dyDescent="0.3">
      <c r="A72"/>
      <c r="B72" s="117" t="s">
        <v>165</v>
      </c>
      <c r="C72" s="1904">
        <v>2010</v>
      </c>
      <c r="D72" s="1906"/>
      <c r="E72" s="1904">
        <v>2020</v>
      </c>
      <c r="F72" s="1906"/>
      <c r="G72" s="1904">
        <v>2030</v>
      </c>
      <c r="H72" s="1906"/>
      <c r="I72" s="1905">
        <v>2040</v>
      </c>
      <c r="J72" s="1905"/>
      <c r="K72" s="1904">
        <v>2050</v>
      </c>
      <c r="L72" s="1906"/>
      <c r="Q72" s="168" t="s">
        <v>76</v>
      </c>
      <c r="R72" s="172">
        <f>(E58+F58)/D58+(E61)/D61</f>
        <v>545</v>
      </c>
      <c r="S72" s="172">
        <f>E58+E61+F58+F61</f>
        <v>641.51302390573892</v>
      </c>
      <c r="T72" s="172">
        <f>I58+I61+J58+J61</f>
        <v>762.66828004277352</v>
      </c>
      <c r="U72" s="173">
        <f>M58+M61+N58+N61</f>
        <v>915.72479607132652</v>
      </c>
      <c r="V72" s="6"/>
      <c r="W72" s="6"/>
      <c r="X72" s="6"/>
      <c r="Y72" s="6"/>
      <c r="Z72" s="6"/>
      <c r="AA72" s="6"/>
      <c r="AB72" s="6"/>
      <c r="AC72" s="6"/>
      <c r="AD72" s="6"/>
      <c r="AE72" s="6"/>
      <c r="AF72" s="6"/>
      <c r="AG72" s="6"/>
      <c r="AH72" s="6"/>
      <c r="AI72" s="70"/>
      <c r="AJ72" s="70"/>
      <c r="AK72" s="70"/>
      <c r="AL72" s="70"/>
      <c r="AM72" s="70"/>
      <c r="AP72" s="1872"/>
      <c r="AQ72" s="1872"/>
      <c r="AR72" s="1872"/>
      <c r="AS72" s="1872"/>
      <c r="AT72" s="1872"/>
      <c r="AU72" s="1872"/>
      <c r="AV72" s="1872"/>
      <c r="AW72" s="1785"/>
      <c r="AX72" s="956"/>
      <c r="AY72" s="1872"/>
      <c r="AZ72" s="1872"/>
      <c r="BA72" s="1872"/>
      <c r="BB72" s="1872"/>
      <c r="BC72" s="956"/>
      <c r="BD72" s="1872"/>
      <c r="BE72" s="1872"/>
      <c r="BF72" s="1872"/>
      <c r="BG72" s="1872"/>
      <c r="BH72" s="1872"/>
      <c r="BI72" s="1785"/>
      <c r="BJ72" s="956"/>
      <c r="BK72" s="956"/>
      <c r="BL72" s="956"/>
      <c r="BM72" s="956"/>
      <c r="BN72" s="956"/>
      <c r="BO72" s="956"/>
      <c r="BP72" s="956"/>
      <c r="BQ72" s="956"/>
      <c r="BR72" s="956"/>
      <c r="BS72" s="956"/>
      <c r="BT72" s="956"/>
      <c r="BU72" s="956"/>
      <c r="BV72" s="956"/>
      <c r="BW72" s="956"/>
      <c r="BX72" s="956"/>
      <c r="BY72" s="956"/>
      <c r="BZ72" s="956"/>
      <c r="CA72" s="956"/>
      <c r="CB72" s="956"/>
      <c r="CC72" s="956"/>
      <c r="CD72" s="956"/>
      <c r="CE72" s="956"/>
      <c r="CF72" s="956"/>
      <c r="CG72" s="956"/>
      <c r="CH72" s="956"/>
      <c r="CI72" s="956"/>
      <c r="CJ72" s="956"/>
      <c r="CK72" s="956"/>
      <c r="CL72" s="956"/>
      <c r="CM72" s="956"/>
      <c r="CN72" s="956"/>
      <c r="CO72" s="956"/>
      <c r="CP72" s="956"/>
      <c r="CQ72" s="956"/>
      <c r="CR72" s="956"/>
      <c r="CS72" s="956"/>
      <c r="CT72" s="956"/>
      <c r="CU72" s="956"/>
      <c r="CV72" s="956"/>
      <c r="CW72" s="956"/>
      <c r="CX72" s="956"/>
      <c r="CY72" s="956"/>
      <c r="CZ72" s="956"/>
    </row>
    <row r="73" spans="1:104" ht="16.5" thickBot="1" x14ac:dyDescent="0.3">
      <c r="A73"/>
      <c r="B73" s="122"/>
      <c r="C73" s="231" t="s">
        <v>286</v>
      </c>
      <c r="D73" s="232" t="s">
        <v>400</v>
      </c>
      <c r="E73" s="227" t="s">
        <v>286</v>
      </c>
      <c r="F73" s="60" t="s">
        <v>400</v>
      </c>
      <c r="G73" s="227" t="s">
        <v>286</v>
      </c>
      <c r="H73" s="60" t="s">
        <v>400</v>
      </c>
      <c r="I73" s="44" t="s">
        <v>286</v>
      </c>
      <c r="J73" s="44" t="s">
        <v>400</v>
      </c>
      <c r="K73" s="227" t="s">
        <v>286</v>
      </c>
      <c r="L73" s="60" t="s">
        <v>400</v>
      </c>
      <c r="Q73" s="168" t="s">
        <v>77</v>
      </c>
      <c r="R73" s="172">
        <f>(E64+F64)/D64+(E65+F65)/D65</f>
        <v>61767</v>
      </c>
      <c r="S73" s="172">
        <f>E64+E65+F64+F65</f>
        <v>77213.968851693528</v>
      </c>
      <c r="T73" s="172">
        <f>I64+I65+J64+J65</f>
        <v>96572.84027324678</v>
      </c>
      <c r="U73" s="173">
        <f>M64+M65+N64+N65</f>
        <v>120992.60141609768</v>
      </c>
      <c r="V73" s="6"/>
      <c r="W73" s="6"/>
      <c r="X73" s="6"/>
      <c r="Y73" s="6"/>
      <c r="Z73" s="6"/>
      <c r="AA73" s="6"/>
      <c r="AB73" s="6"/>
      <c r="AC73" s="6"/>
      <c r="AD73" s="6"/>
      <c r="AE73" s="6"/>
      <c r="AF73" s="6"/>
      <c r="AG73" s="6"/>
      <c r="AH73" s="6"/>
      <c r="AI73" s="70"/>
      <c r="AJ73" s="70"/>
      <c r="AK73" s="70"/>
      <c r="AL73" s="70"/>
      <c r="AM73" s="70"/>
      <c r="AP73" s="1872"/>
      <c r="AQ73" s="1872"/>
      <c r="AR73" s="1872"/>
      <c r="AS73" s="1872"/>
      <c r="AT73" s="1872"/>
      <c r="AU73" s="1872"/>
      <c r="AV73" s="1872"/>
      <c r="AW73" s="1785"/>
      <c r="AX73" s="956"/>
      <c r="AY73" s="1872"/>
      <c r="AZ73" s="1872"/>
      <c r="BA73" s="1872"/>
      <c r="BB73" s="1872"/>
      <c r="BC73" s="956"/>
      <c r="BD73" s="1872"/>
      <c r="BE73" s="1872"/>
      <c r="BF73" s="1872"/>
      <c r="BG73" s="1872"/>
      <c r="BH73" s="1872"/>
      <c r="BI73" s="1785"/>
      <c r="BJ73" s="956"/>
      <c r="BK73" s="2003" t="str">
        <f>AY45</f>
        <v>Growth rates</v>
      </c>
      <c r="BL73" s="2004"/>
      <c r="BM73" s="2004"/>
      <c r="BN73" s="2005"/>
      <c r="BO73" s="956"/>
      <c r="BP73" s="956"/>
      <c r="BQ73" s="956"/>
      <c r="BR73" s="956"/>
      <c r="BS73" s="956"/>
      <c r="BT73" s="956"/>
      <c r="BU73" s="956"/>
      <c r="BV73" s="956"/>
      <c r="BW73" s="956"/>
      <c r="BX73" s="956"/>
      <c r="BY73" s="956"/>
      <c r="BZ73" s="956"/>
      <c r="CA73" s="956"/>
      <c r="CB73" s="956"/>
      <c r="CC73" s="956"/>
      <c r="CD73" s="956"/>
      <c r="CE73" s="956"/>
      <c r="CF73" s="956"/>
      <c r="CG73" s="956"/>
      <c r="CH73" s="956"/>
      <c r="CI73" s="956"/>
      <c r="CJ73" s="956"/>
      <c r="CK73" s="956"/>
      <c r="CL73" s="956"/>
      <c r="CM73" s="956"/>
      <c r="CN73" s="956"/>
      <c r="CO73" s="956"/>
      <c r="CP73" s="956"/>
      <c r="CQ73" s="956"/>
      <c r="CR73" s="956"/>
      <c r="CS73" s="956"/>
      <c r="CT73" s="956"/>
      <c r="CU73" s="956"/>
      <c r="CV73" s="956"/>
      <c r="CW73" s="956"/>
      <c r="CX73" s="956"/>
      <c r="CY73" s="956"/>
      <c r="CZ73" s="956"/>
    </row>
    <row r="74" spans="1:104" ht="16.5" thickBot="1" x14ac:dyDescent="0.3">
      <c r="A74"/>
      <c r="B74" s="117" t="s">
        <v>166</v>
      </c>
      <c r="C74" s="242">
        <f>SUM(C75:C78)</f>
        <v>43915.0627628113</v>
      </c>
      <c r="D74" s="240"/>
      <c r="E74" s="242">
        <f t="shared" ref="E74:L74" si="56">SUM(E75:E78)</f>
        <v>55526.369859332932</v>
      </c>
      <c r="F74" s="243">
        <f t="shared" si="56"/>
        <v>11611.307096521619</v>
      </c>
      <c r="G74" s="242">
        <f t="shared" si="56"/>
        <v>68848.8160985797</v>
      </c>
      <c r="H74" s="243">
        <f t="shared" si="56"/>
        <v>13322.446239246781</v>
      </c>
      <c r="I74" s="299">
        <f t="shared" si="56"/>
        <v>77058.177045311386</v>
      </c>
      <c r="J74" s="243">
        <f t="shared" si="56"/>
        <v>8209.3609467316783</v>
      </c>
      <c r="K74" s="242">
        <f t="shared" si="56"/>
        <v>85267.537992043057</v>
      </c>
      <c r="L74" s="243">
        <f t="shared" si="56"/>
        <v>8209.3609467316783</v>
      </c>
      <c r="Q74" s="169" t="s">
        <v>107</v>
      </c>
      <c r="R74" s="174">
        <f>(E62+F62)/D62+(E63+F63)/D63</f>
        <v>589.10699999999997</v>
      </c>
      <c r="S74" s="174">
        <f>E62+E63+F62+F63</f>
        <v>739.23837052003842</v>
      </c>
      <c r="T74" s="174">
        <f>I62+I63+J62+J63</f>
        <v>927.70210228875885</v>
      </c>
      <c r="U74" s="175">
        <f>M62+M63+N62+N63</f>
        <v>1165.7900161109524</v>
      </c>
      <c r="V74" s="6"/>
      <c r="W74" s="6"/>
      <c r="X74" s="6"/>
      <c r="Y74" s="6"/>
      <c r="Z74" s="6"/>
      <c r="AA74" s="6"/>
      <c r="AB74" s="6"/>
      <c r="AC74" s="6"/>
      <c r="AD74" s="6"/>
      <c r="AE74" s="6"/>
      <c r="AF74" s="6"/>
      <c r="AG74" s="6"/>
      <c r="AH74" s="6"/>
      <c r="AI74" s="70"/>
      <c r="AJ74" s="70"/>
      <c r="AK74" s="70"/>
      <c r="AL74" s="70"/>
      <c r="AM74" s="70"/>
      <c r="AP74" s="1872"/>
      <c r="AQ74" s="1872"/>
      <c r="AR74" s="1872"/>
      <c r="AS74" s="1872"/>
      <c r="AT74" s="1872"/>
      <c r="AU74" s="1872"/>
      <c r="AV74" s="1872"/>
      <c r="AW74" s="1785"/>
      <c r="AX74" s="956"/>
      <c r="AY74" s="1872"/>
      <c r="AZ74" s="1872"/>
      <c r="BA74" s="1872"/>
      <c r="BB74" s="1872"/>
      <c r="BC74" s="956"/>
      <c r="BD74" s="1872"/>
      <c r="BE74" s="1872"/>
      <c r="BF74" s="1872"/>
      <c r="BG74" s="1872"/>
      <c r="BH74" s="1872"/>
      <c r="BI74" s="1785"/>
      <c r="BJ74" s="956"/>
      <c r="BK74" s="1799" t="s">
        <v>500</v>
      </c>
      <c r="BL74" s="1800" t="str">
        <f>AZ45</f>
        <v>2010-2020</v>
      </c>
      <c r="BM74" s="1837" t="str">
        <f>BA45</f>
        <v>2020-2030</v>
      </c>
      <c r="BN74" s="1802" t="str">
        <f>BB45</f>
        <v>2030-2050</v>
      </c>
      <c r="BO74" s="956"/>
      <c r="BP74" s="956"/>
      <c r="BQ74" s="956"/>
      <c r="BR74" s="956"/>
      <c r="BS74" s="956"/>
      <c r="BT74" s="956"/>
      <c r="BU74" s="956"/>
      <c r="BV74" s="956"/>
      <c r="BW74" s="956"/>
      <c r="BX74" s="956"/>
      <c r="BY74" s="956"/>
      <c r="BZ74" s="956"/>
      <c r="CA74" s="956"/>
      <c r="CB74" s="956"/>
      <c r="CC74" s="956"/>
      <c r="CD74" s="956"/>
      <c r="CE74" s="956"/>
      <c r="CF74" s="956"/>
      <c r="CG74" s="956"/>
      <c r="CH74" s="956"/>
      <c r="CI74" s="956"/>
      <c r="CJ74" s="956"/>
      <c r="CK74" s="956"/>
      <c r="CL74" s="956"/>
      <c r="CM74" s="956"/>
      <c r="CN74" s="956"/>
      <c r="CO74" s="956"/>
      <c r="CP74" s="956"/>
      <c r="CQ74" s="956"/>
      <c r="CR74" s="956"/>
      <c r="CS74" s="956"/>
      <c r="CT74" s="956"/>
      <c r="CU74" s="956"/>
      <c r="CV74" s="956"/>
      <c r="CW74" s="956"/>
      <c r="CX74" s="956"/>
      <c r="CY74" s="956"/>
      <c r="CZ74" s="956"/>
    </row>
    <row r="75" spans="1:104" ht="15.75" x14ac:dyDescent="0.25">
      <c r="A75"/>
      <c r="B75" s="119" t="str">
        <f>'Scenarios technology'!C6</f>
        <v>Cars and vans &lt; 2 t</v>
      </c>
      <c r="C75" s="235">
        <f>'Scenarios technology'!I6-'Scenarios technology'!I17</f>
        <v>33714.619541107415</v>
      </c>
      <c r="D75" s="236" t="s">
        <v>127</v>
      </c>
      <c r="E75" s="235">
        <f>'Scenarios technology'!I146</f>
        <v>42972.772207618851</v>
      </c>
      <c r="F75" s="236">
        <f>E75-C75</f>
        <v>9258.1526665114361</v>
      </c>
      <c r="G75" s="235">
        <f>'Scenarios technology'!I286</f>
        <v>53374.055988602966</v>
      </c>
      <c r="H75" s="236">
        <f>G75-E75</f>
        <v>10401.283780984115</v>
      </c>
      <c r="I75" s="300">
        <f>(G75+K75)/2</f>
        <v>59758.344614567948</v>
      </c>
      <c r="J75" s="236">
        <f>I75-G75</f>
        <v>6384.2886259649822</v>
      </c>
      <c r="K75" s="235">
        <f>'Scenarios technology'!I426</f>
        <v>66142.63324053293</v>
      </c>
      <c r="L75" s="236">
        <f>K75-I75</f>
        <v>6384.2886259649822</v>
      </c>
      <c r="Q75" s="18" t="s">
        <v>138</v>
      </c>
      <c r="R75" s="37">
        <v>2010</v>
      </c>
      <c r="S75" s="37">
        <v>2020</v>
      </c>
      <c r="T75" s="37">
        <v>2030</v>
      </c>
      <c r="U75" s="38">
        <v>2050</v>
      </c>
      <c r="V75" s="6"/>
      <c r="W75" s="6"/>
      <c r="X75" s="6"/>
      <c r="Y75" s="6"/>
      <c r="Z75" s="6"/>
      <c r="AA75" s="6"/>
      <c r="AB75" s="6"/>
      <c r="AC75" s="6"/>
      <c r="AD75" s="6"/>
      <c r="AE75" s="6"/>
      <c r="AF75" s="6"/>
      <c r="AG75" s="6"/>
      <c r="AH75" s="6"/>
      <c r="AI75" s="70"/>
      <c r="AJ75" s="70"/>
      <c r="AK75" s="70"/>
      <c r="AL75" s="70"/>
      <c r="AM75" s="70"/>
      <c r="AP75" s="1872"/>
      <c r="AQ75" s="1872"/>
      <c r="AR75" s="1872"/>
      <c r="AS75" s="1872"/>
      <c r="AT75" s="1872"/>
      <c r="AU75" s="1872"/>
      <c r="AV75" s="1872"/>
      <c r="AW75" s="1785"/>
      <c r="AX75" s="956"/>
      <c r="AY75" s="1872"/>
      <c r="AZ75" s="1872"/>
      <c r="BA75" s="1872"/>
      <c r="BB75" s="1872"/>
      <c r="BC75" s="956"/>
      <c r="BD75" s="1872"/>
      <c r="BE75" s="1872"/>
      <c r="BF75" s="1872"/>
      <c r="BG75" s="1872"/>
      <c r="BH75" s="1872"/>
      <c r="BI75" s="1785"/>
      <c r="BJ75" s="956"/>
      <c r="BK75" s="1853" t="str">
        <f t="shared" ref="BK75:BN75" si="57">AY47</f>
        <v>National truck</v>
      </c>
      <c r="BL75" s="1838">
        <f t="shared" si="57"/>
        <v>2.2025115097018988E-2</v>
      </c>
      <c r="BM75" s="1809">
        <f t="shared" si="57"/>
        <v>2.199106755735003E-2</v>
      </c>
      <c r="BN75" s="1873">
        <f t="shared" si="57"/>
        <v>1.1010607629218017E-2</v>
      </c>
      <c r="BO75" s="956"/>
      <c r="BP75" s="956"/>
      <c r="BQ75" s="956"/>
      <c r="BR75" s="956"/>
      <c r="BS75" s="956"/>
      <c r="BT75" s="956"/>
      <c r="BU75" s="956"/>
      <c r="BV75" s="956"/>
      <c r="BW75" s="956"/>
      <c r="BX75" s="956"/>
      <c r="BY75" s="956"/>
      <c r="BZ75" s="956"/>
      <c r="CA75" s="956"/>
      <c r="CB75" s="956"/>
      <c r="CC75" s="956"/>
      <c r="CD75" s="956"/>
      <c r="CE75" s="956"/>
      <c r="CF75" s="956"/>
      <c r="CG75" s="956"/>
      <c r="CH75" s="956"/>
      <c r="CI75" s="956"/>
      <c r="CJ75" s="956"/>
      <c r="CK75" s="956"/>
      <c r="CL75" s="956"/>
      <c r="CM75" s="956"/>
      <c r="CN75" s="956"/>
      <c r="CO75" s="956"/>
      <c r="CP75" s="956"/>
      <c r="CQ75" s="956"/>
      <c r="CR75" s="956"/>
      <c r="CS75" s="956"/>
      <c r="CT75" s="956"/>
      <c r="CU75" s="956"/>
      <c r="CV75" s="956"/>
      <c r="CW75" s="956"/>
      <c r="CX75" s="956"/>
      <c r="CY75" s="956"/>
      <c r="CZ75" s="956"/>
    </row>
    <row r="76" spans="1:104" ht="15.75" x14ac:dyDescent="0.25">
      <c r="A76"/>
      <c r="B76" s="119" t="str">
        <f>'Scenarios technology'!C31</f>
        <v>National bus</v>
      </c>
      <c r="C76" s="235">
        <f>'Scenarios technology'!I31</f>
        <v>563.32556332556339</v>
      </c>
      <c r="D76" s="236" t="s">
        <v>127</v>
      </c>
      <c r="E76" s="235">
        <f>'Scenarios technology'!I171</f>
        <v>577.56785205282142</v>
      </c>
      <c r="F76" s="236">
        <f>E76-C76</f>
        <v>14.242288727258028</v>
      </c>
      <c r="G76" s="235">
        <f>'Scenarios technology'!I311</f>
        <v>592.17057700435873</v>
      </c>
      <c r="H76" s="236">
        <f>G76-E76</f>
        <v>14.602724951537311</v>
      </c>
      <c r="I76" s="300">
        <f>(G76+K76)/2</f>
        <v>599.6612723056686</v>
      </c>
      <c r="J76" s="236">
        <f>I76-G76</f>
        <v>7.49069530130987</v>
      </c>
      <c r="K76" s="235">
        <f>'Scenarios technology'!I451</f>
        <v>607.15196760697847</v>
      </c>
      <c r="L76" s="236">
        <f>K76-I76</f>
        <v>7.49069530130987</v>
      </c>
      <c r="Q76" s="3" t="s">
        <v>144</v>
      </c>
      <c r="R76" s="172">
        <f>(E47+F47)/D47</f>
        <v>10002.180000000008</v>
      </c>
      <c r="S76" s="172">
        <f>E47+F47</f>
        <v>12436.848617120282</v>
      </c>
      <c r="T76" s="172">
        <f>I47+J47</f>
        <v>15458.998244597751</v>
      </c>
      <c r="U76" s="173">
        <f>M47+N47</f>
        <v>19244.010864930344</v>
      </c>
      <c r="V76" s="6"/>
      <c r="W76" s="6"/>
      <c r="X76" s="6"/>
      <c r="Y76" s="6"/>
      <c r="Z76" s="6"/>
      <c r="AA76" s="6"/>
      <c r="AB76" s="6"/>
      <c r="AC76" s="6"/>
      <c r="AD76" s="6"/>
      <c r="AE76" s="6"/>
      <c r="AF76" s="6"/>
      <c r="AG76" s="6"/>
      <c r="AH76" s="6"/>
      <c r="AI76" s="70"/>
      <c r="AJ76" s="70"/>
      <c r="AK76" s="70"/>
      <c r="AL76" s="70"/>
      <c r="AM76" s="70"/>
      <c r="AP76" s="1872"/>
      <c r="AQ76" s="1872"/>
      <c r="AR76" s="1872"/>
      <c r="AS76" s="1872"/>
      <c r="AT76" s="1872"/>
      <c r="AU76" s="1872"/>
      <c r="AV76" s="1872"/>
      <c r="AW76" s="1785"/>
      <c r="AX76" s="956"/>
      <c r="AY76" s="1872"/>
      <c r="AZ76" s="1872"/>
      <c r="BA76" s="1872"/>
      <c r="BB76" s="1872"/>
      <c r="BC76" s="956"/>
      <c r="BD76" s="1872"/>
      <c r="BE76" s="1872"/>
      <c r="BF76" s="1872"/>
      <c r="BG76" s="1872"/>
      <c r="BH76" s="1872"/>
      <c r="BI76" s="1785"/>
      <c r="BJ76" s="956"/>
      <c r="BK76" s="1853" t="str">
        <f>AY51</f>
        <v>International truck</v>
      </c>
      <c r="BL76" s="1838">
        <f>AZ51</f>
        <v>1.0310738761621696E-2</v>
      </c>
      <c r="BM76" s="1809">
        <f>BA51</f>
        <v>1.1625387959514732E-2</v>
      </c>
      <c r="BN76" s="1873">
        <f>BB51</f>
        <v>6.1917125796691064E-3</v>
      </c>
      <c r="BO76" s="956"/>
      <c r="BP76" s="956"/>
      <c r="BQ76" s="956"/>
      <c r="BR76" s="956"/>
      <c r="BS76" s="956"/>
      <c r="BT76" s="956"/>
      <c r="BU76" s="956"/>
      <c r="BV76" s="956"/>
      <c r="BW76" s="956"/>
      <c r="BX76" s="956"/>
      <c r="BY76" s="956"/>
      <c r="BZ76" s="956"/>
      <c r="CA76" s="956"/>
      <c r="CB76" s="956"/>
      <c r="CC76" s="956"/>
      <c r="CD76" s="956"/>
      <c r="CE76" s="956"/>
      <c r="CF76" s="956"/>
      <c r="CG76" s="956"/>
      <c r="CH76" s="956"/>
      <c r="CI76" s="956"/>
      <c r="CJ76" s="956"/>
      <c r="CK76" s="956"/>
      <c r="CL76" s="956"/>
      <c r="CM76" s="956"/>
      <c r="CN76" s="956"/>
      <c r="CO76" s="956"/>
      <c r="CP76" s="956"/>
      <c r="CQ76" s="956"/>
      <c r="CR76" s="956"/>
      <c r="CS76" s="956"/>
      <c r="CT76" s="956"/>
      <c r="CU76" s="956"/>
      <c r="CV76" s="956"/>
      <c r="CW76" s="956"/>
      <c r="CX76" s="956"/>
      <c r="CY76" s="956"/>
      <c r="CZ76" s="956"/>
    </row>
    <row r="77" spans="1:104" ht="15.75" x14ac:dyDescent="0.25">
      <c r="A77"/>
      <c r="B77" s="119" t="str">
        <f>'Scenarios technology'!C61</f>
        <v>National truck</v>
      </c>
      <c r="C77" s="235">
        <f>'Scenarios technology'!I61</f>
        <v>1186.0759917116627</v>
      </c>
      <c r="D77" s="236" t="s">
        <v>127</v>
      </c>
      <c r="E77" s="235">
        <f>'Scenarios technology'!I201</f>
        <v>1470.4699580476076</v>
      </c>
      <c r="F77" s="236">
        <f>E77-C77</f>
        <v>284.39396633594492</v>
      </c>
      <c r="G77" s="235">
        <f>'Scenarios technology'!I341</f>
        <v>1823.0411436840377</v>
      </c>
      <c r="H77" s="236">
        <f>G77-E77</f>
        <v>352.57118563643007</v>
      </c>
      <c r="I77" s="300">
        <f>(G77+K77)/2</f>
        <v>2043.5650934376902</v>
      </c>
      <c r="J77" s="236">
        <f>I77-G77</f>
        <v>220.52394975365246</v>
      </c>
      <c r="K77" s="235">
        <f>'Scenarios technology'!I481</f>
        <v>2264.0890431913426</v>
      </c>
      <c r="L77" s="236">
        <f>K77-I77</f>
        <v>220.52394975365246</v>
      </c>
      <c r="Q77" s="3" t="s">
        <v>143</v>
      </c>
      <c r="R77" s="172">
        <f>(E55+F55)/D55</f>
        <v>4056.5</v>
      </c>
      <c r="S77" s="172">
        <f>E55+F55</f>
        <v>5042.6687239745506</v>
      </c>
      <c r="T77" s="172">
        <f>I55+J55</f>
        <v>6268.5832268584054</v>
      </c>
      <c r="U77" s="173">
        <f>M55+N55</f>
        <v>7801.7585955416707</v>
      </c>
      <c r="W77" s="6"/>
      <c r="X77" s="6"/>
      <c r="Y77" s="6"/>
      <c r="Z77" s="6"/>
      <c r="AA77" s="6"/>
      <c r="AB77" s="6"/>
      <c r="AC77" s="6"/>
      <c r="AD77" s="6"/>
      <c r="AE77" s="6"/>
      <c r="AF77" s="6"/>
      <c r="AG77" s="6"/>
      <c r="AH77" s="6"/>
      <c r="AI77" s="70"/>
      <c r="AJ77" s="70"/>
      <c r="AK77" s="70"/>
      <c r="AL77" s="70"/>
      <c r="AM77" s="70"/>
      <c r="AP77" s="1872"/>
      <c r="AQ77" s="1872"/>
      <c r="AR77" s="1872"/>
      <c r="AS77" s="1872"/>
      <c r="AT77" s="1872"/>
      <c r="AU77" s="1872"/>
      <c r="AV77" s="1872"/>
      <c r="AW77" s="1785"/>
      <c r="AX77" s="956"/>
      <c r="AY77" s="1872"/>
      <c r="AZ77" s="1872"/>
      <c r="BA77" s="1872"/>
      <c r="BB77" s="1872"/>
      <c r="BC77" s="956"/>
      <c r="BD77" s="1872"/>
      <c r="BE77" s="1872"/>
      <c r="BF77" s="1872"/>
      <c r="BG77" s="1872"/>
      <c r="BH77" s="1872"/>
      <c r="BI77" s="1785"/>
      <c r="BJ77" s="956"/>
      <c r="BK77" s="1853" t="str">
        <f>AY55</f>
        <v>Vans (2-6 t)</v>
      </c>
      <c r="BL77" s="1838">
        <f>AZ55</f>
        <v>2.200000000000002E-2</v>
      </c>
      <c r="BM77" s="1809">
        <f>BA55</f>
        <v>2.200000000000002E-2</v>
      </c>
      <c r="BN77" s="1873">
        <f>BB55</f>
        <v>1.0999999999999899E-2</v>
      </c>
      <c r="BO77" s="956"/>
      <c r="BP77" s="956"/>
      <c r="BQ77" s="956"/>
      <c r="BR77" s="956"/>
      <c r="BS77" s="956"/>
      <c r="BT77" s="956"/>
      <c r="BU77" s="956"/>
      <c r="BV77" s="956"/>
      <c r="BW77" s="956"/>
      <c r="BX77" s="956"/>
      <c r="BY77" s="956"/>
      <c r="BZ77" s="956"/>
      <c r="CA77" s="956"/>
      <c r="CB77" s="956"/>
      <c r="CC77" s="956"/>
      <c r="CD77" s="956"/>
      <c r="CE77" s="956"/>
      <c r="CF77" s="956"/>
      <c r="CG77" s="956"/>
      <c r="CH77" s="956"/>
      <c r="CI77" s="956"/>
      <c r="CJ77" s="956"/>
      <c r="CK77" s="956"/>
      <c r="CL77" s="956"/>
      <c r="CM77" s="956"/>
      <c r="CN77" s="956"/>
      <c r="CO77" s="956"/>
      <c r="CP77" s="956"/>
      <c r="CQ77" s="956"/>
      <c r="CR77" s="956"/>
      <c r="CS77" s="956"/>
      <c r="CT77" s="956"/>
      <c r="CU77" s="956"/>
      <c r="CV77" s="956"/>
      <c r="CW77" s="956"/>
      <c r="CX77" s="956"/>
      <c r="CY77" s="956"/>
      <c r="CZ77" s="956"/>
    </row>
    <row r="78" spans="1:104" ht="15.75" x14ac:dyDescent="0.25">
      <c r="A78"/>
      <c r="B78" s="119" t="str">
        <f>'Scenarios technology'!C85</f>
        <v>Vans (2-6 t)</v>
      </c>
      <c r="C78" s="235">
        <f>'Scenarios technology'!I85</f>
        <v>8451.0416666666679</v>
      </c>
      <c r="D78" s="236" t="s">
        <v>127</v>
      </c>
      <c r="E78" s="235">
        <f>'Scenarios technology'!I225</f>
        <v>10505.559841613647</v>
      </c>
      <c r="F78" s="236">
        <f>E78-C78</f>
        <v>2054.5181749469793</v>
      </c>
      <c r="G78" s="235">
        <f>'Scenarios technology'!I365</f>
        <v>13059.548389288346</v>
      </c>
      <c r="H78" s="236">
        <f>G78-E78</f>
        <v>2553.9885476746986</v>
      </c>
      <c r="I78" s="300">
        <f>(G78+K78)/2</f>
        <v>14656.60606500008</v>
      </c>
      <c r="J78" s="236">
        <f>I78-G78</f>
        <v>1597.0576757117342</v>
      </c>
      <c r="K78" s="235">
        <f>'Scenarios technology'!I505</f>
        <v>16253.663740711814</v>
      </c>
      <c r="L78" s="236">
        <f>K78-I78</f>
        <v>1597.0576757117342</v>
      </c>
      <c r="M78" s="70"/>
      <c r="N78" s="70"/>
      <c r="O78" s="70"/>
      <c r="P78" s="70"/>
      <c r="Q78" s="3" t="s">
        <v>76</v>
      </c>
      <c r="R78" s="172">
        <f>(E58+F58)/D58</f>
        <v>167</v>
      </c>
      <c r="S78" s="172">
        <f>E58+F58</f>
        <v>167</v>
      </c>
      <c r="T78" s="172">
        <f>I58+J58</f>
        <v>167</v>
      </c>
      <c r="U78" s="173">
        <f>M58+N58</f>
        <v>167</v>
      </c>
      <c r="V78" s="70"/>
      <c r="W78" s="6"/>
      <c r="X78" s="6"/>
      <c r="Y78" s="6"/>
      <c r="Z78" s="6"/>
      <c r="AA78" s="6"/>
      <c r="AB78" s="6"/>
      <c r="AC78" s="6"/>
      <c r="AD78" s="6"/>
      <c r="AE78" s="6"/>
      <c r="AF78" s="6"/>
      <c r="AG78" s="6"/>
      <c r="AH78" s="6"/>
      <c r="AI78" s="70"/>
      <c r="AJ78" s="70"/>
      <c r="AK78" s="70"/>
      <c r="AL78" s="70"/>
      <c r="AM78" s="70"/>
      <c r="AP78" s="1872"/>
      <c r="AQ78" s="1872"/>
      <c r="AR78" s="1872"/>
      <c r="AS78" s="1872"/>
      <c r="AT78" s="1872"/>
      <c r="AU78" s="1872"/>
      <c r="AV78" s="1872"/>
      <c r="AW78" s="1785"/>
      <c r="AX78" s="956"/>
      <c r="AY78" s="1872"/>
      <c r="AZ78" s="1872"/>
      <c r="BA78" s="1872"/>
      <c r="BB78" s="1872"/>
      <c r="BC78" s="956"/>
      <c r="BD78" s="1872"/>
      <c r="BE78" s="1872"/>
      <c r="BF78" s="1872"/>
      <c r="BG78" s="1872"/>
      <c r="BH78" s="1872"/>
      <c r="BI78" s="1785"/>
      <c r="BJ78" s="956"/>
      <c r="BK78" s="1853" t="str">
        <f>AY58</f>
        <v xml:space="preserve">National rail </v>
      </c>
      <c r="BL78" s="1838">
        <f>AZ58</f>
        <v>0</v>
      </c>
      <c r="BM78" s="1809">
        <f>BA58</f>
        <v>0</v>
      </c>
      <c r="BN78" s="1873">
        <f>BB58</f>
        <v>0</v>
      </c>
      <c r="BO78" s="956"/>
      <c r="BP78" s="956"/>
      <c r="BQ78" s="956"/>
      <c r="BR78" s="956"/>
      <c r="BS78" s="956"/>
      <c r="BT78" s="956"/>
      <c r="BU78" s="956"/>
      <c r="BV78" s="956"/>
      <c r="BW78" s="956"/>
      <c r="BX78" s="956"/>
      <c r="BY78" s="956"/>
      <c r="BZ78" s="956"/>
      <c r="CA78" s="956"/>
      <c r="CB78" s="956"/>
      <c r="CC78" s="956"/>
      <c r="CD78" s="956"/>
      <c r="CE78" s="956"/>
      <c r="CF78" s="956"/>
      <c r="CG78" s="956"/>
      <c r="CH78" s="956"/>
      <c r="CI78" s="956"/>
      <c r="CJ78" s="956"/>
      <c r="CK78" s="956"/>
      <c r="CL78" s="956"/>
      <c r="CM78" s="956"/>
      <c r="CN78" s="956"/>
      <c r="CO78" s="956"/>
      <c r="CP78" s="956"/>
      <c r="CQ78" s="956"/>
      <c r="CR78" s="956"/>
      <c r="CS78" s="956"/>
      <c r="CT78" s="956"/>
      <c r="CU78" s="956"/>
      <c r="CV78" s="956"/>
      <c r="CW78" s="956"/>
      <c r="CX78" s="956"/>
      <c r="CY78" s="956"/>
      <c r="CZ78" s="956"/>
    </row>
    <row r="79" spans="1:104" ht="15.75" x14ac:dyDescent="0.25">
      <c r="A79"/>
      <c r="B79" s="305" t="s">
        <v>264</v>
      </c>
      <c r="C79" s="308"/>
      <c r="D79" s="298"/>
      <c r="E79" s="322"/>
      <c r="F79" s="309">
        <f>(E74/C74)^(1/10)-1</f>
        <v>2.3737418405341382E-2</v>
      </c>
      <c r="G79" s="308"/>
      <c r="H79" s="309">
        <f>(G74/C74)^(1/20)-1</f>
        <v>2.2737425189632399E-2</v>
      </c>
      <c r="I79" s="297"/>
      <c r="J79" s="309">
        <f>(I74/C74)^(1/30)-1</f>
        <v>1.8920204515770811E-2</v>
      </c>
      <c r="K79" s="297"/>
      <c r="L79" s="309">
        <f>(K74/C74)^(1/40)-1</f>
        <v>1.6726762710877363E-2</v>
      </c>
      <c r="M79" s="70"/>
      <c r="N79" s="70"/>
      <c r="O79" s="70"/>
      <c r="P79" s="70"/>
      <c r="Q79" s="3" t="s">
        <v>77</v>
      </c>
      <c r="R79" s="172">
        <f>(E64+F64)/D64</f>
        <v>2073</v>
      </c>
      <c r="S79" s="172">
        <f>E64+F64</f>
        <v>2278.5708383888164</v>
      </c>
      <c r="T79" s="172">
        <f>I64+J64</f>
        <v>2504.5272868094135</v>
      </c>
      <c r="U79" s="173">
        <f>M64+N64</f>
        <v>2753.5062396908893</v>
      </c>
      <c r="V79" s="70"/>
      <c r="W79" s="6"/>
      <c r="X79" s="6"/>
      <c r="Y79" s="6"/>
      <c r="Z79" s="6"/>
      <c r="AA79" s="6"/>
      <c r="AB79" s="6"/>
      <c r="AC79" s="6"/>
      <c r="AD79" s="6"/>
      <c r="AE79" s="6"/>
      <c r="AF79" s="6"/>
      <c r="AG79" s="6"/>
      <c r="AH79" s="6"/>
      <c r="AI79" s="70"/>
      <c r="AJ79" s="70"/>
      <c r="AK79" s="70"/>
      <c r="AL79" s="70"/>
      <c r="AM79" s="70"/>
      <c r="AP79" s="1872"/>
      <c r="AQ79" s="1872"/>
      <c r="AR79" s="1872"/>
      <c r="AS79" s="1872"/>
      <c r="AT79" s="1872"/>
      <c r="AU79" s="1872"/>
      <c r="AV79" s="1872"/>
      <c r="AW79" s="1785"/>
      <c r="AX79" s="956"/>
      <c r="AY79" s="1872"/>
      <c r="AZ79" s="1872"/>
      <c r="BA79" s="1872"/>
      <c r="BB79" s="1872"/>
      <c r="BC79" s="956"/>
      <c r="BD79" s="1872"/>
      <c r="BE79" s="1872"/>
      <c r="BF79" s="1872"/>
      <c r="BG79" s="1872"/>
      <c r="BH79" s="1872"/>
      <c r="BI79" s="1785"/>
      <c r="BJ79" s="956"/>
      <c r="BK79" s="1853" t="str">
        <f t="shared" ref="BK79:BN83" si="58">AY61</f>
        <v>International rail (electricity)</v>
      </c>
      <c r="BL79" s="1838">
        <f t="shared" si="58"/>
        <v>2.3E-2</v>
      </c>
      <c r="BM79" s="1809">
        <f t="shared" si="58"/>
        <v>2.3E-2</v>
      </c>
      <c r="BN79" s="1873">
        <f t="shared" si="58"/>
        <v>1.15E-2</v>
      </c>
      <c r="BO79" s="956"/>
      <c r="BP79" s="956"/>
      <c r="BQ79" s="956"/>
      <c r="BR79" s="956"/>
      <c r="BS79" s="956"/>
      <c r="BT79" s="956"/>
      <c r="BU79" s="956"/>
      <c r="BV79" s="956"/>
      <c r="BW79" s="956"/>
      <c r="BX79" s="956"/>
      <c r="BY79" s="956"/>
      <c r="BZ79" s="956"/>
      <c r="CA79" s="956"/>
      <c r="CB79" s="956"/>
      <c r="CC79" s="956"/>
      <c r="CD79" s="956"/>
      <c r="CE79" s="956"/>
      <c r="CF79" s="956"/>
      <c r="CG79" s="956"/>
      <c r="CH79" s="956"/>
      <c r="CI79" s="956"/>
      <c r="CJ79" s="956"/>
      <c r="CK79" s="956"/>
      <c r="CL79" s="956"/>
      <c r="CM79" s="956"/>
      <c r="CN79" s="956"/>
      <c r="CO79" s="956"/>
      <c r="CP79" s="956"/>
      <c r="CQ79" s="956"/>
      <c r="CR79" s="956"/>
      <c r="CS79" s="956"/>
      <c r="CT79" s="956"/>
      <c r="CU79" s="956"/>
      <c r="CV79" s="956"/>
      <c r="CW79" s="956"/>
      <c r="CX79" s="956"/>
      <c r="CY79" s="956"/>
      <c r="CZ79" s="956"/>
    </row>
    <row r="80" spans="1:104" ht="16.5" thickBot="1" x14ac:dyDescent="0.3">
      <c r="A80"/>
      <c r="B80" s="129" t="s">
        <v>76</v>
      </c>
      <c r="C80" s="249">
        <f>SUM(C81:C82)</f>
        <v>74.423230373230382</v>
      </c>
      <c r="D80" s="234"/>
      <c r="E80" s="249">
        <f t="shared" ref="E80:L80" si="59">SUM(E81:E82)</f>
        <v>76.289667386867222</v>
      </c>
      <c r="F80" s="247">
        <f t="shared" si="59"/>
        <v>1.8664370136368404</v>
      </c>
      <c r="G80" s="249">
        <f t="shared" si="59"/>
        <v>86.725111600110665</v>
      </c>
      <c r="H80" s="247">
        <f t="shared" si="59"/>
        <v>10.435444213243443</v>
      </c>
      <c r="I80" s="301">
        <f t="shared" si="59"/>
        <v>87.814533292257153</v>
      </c>
      <c r="J80" s="247">
        <f t="shared" si="59"/>
        <v>1.0894216921464874</v>
      </c>
      <c r="K80" s="249">
        <f t="shared" si="59"/>
        <v>88.903954984403654</v>
      </c>
      <c r="L80" s="247">
        <f t="shared" si="59"/>
        <v>1.0894216921465016</v>
      </c>
      <c r="M80" s="70"/>
      <c r="N80" s="70"/>
      <c r="O80" s="70"/>
      <c r="P80" s="70"/>
      <c r="Q80" s="11" t="s">
        <v>107</v>
      </c>
      <c r="R80" s="174">
        <f>(E62+F62)/D62</f>
        <v>1.107</v>
      </c>
      <c r="S80" s="174">
        <f>E62+F62</f>
        <v>1.107</v>
      </c>
      <c r="T80" s="174">
        <f>I62+J62</f>
        <v>1.107</v>
      </c>
      <c r="U80" s="175">
        <f>M62+N62</f>
        <v>1.107</v>
      </c>
      <c r="V80" s="70"/>
      <c r="W80" s="6"/>
      <c r="X80" s="6"/>
      <c r="Y80" s="6"/>
      <c r="Z80" s="6"/>
      <c r="AA80" s="6"/>
      <c r="AB80" s="6"/>
      <c r="AC80" s="6"/>
      <c r="AD80" s="6"/>
      <c r="AE80" s="6"/>
      <c r="AF80" s="6"/>
      <c r="AG80" s="6"/>
      <c r="AH80" s="6"/>
      <c r="AI80" s="70"/>
      <c r="AJ80" s="70"/>
      <c r="AK80" s="70"/>
      <c r="AL80" s="70"/>
      <c r="AM80" s="70"/>
      <c r="AP80" s="1872"/>
      <c r="AQ80" s="1872"/>
      <c r="AR80" s="1872"/>
      <c r="AS80" s="1872"/>
      <c r="AT80" s="1872"/>
      <c r="AU80" s="1872"/>
      <c r="AV80" s="1872"/>
      <c r="AW80" s="1785"/>
      <c r="AX80" s="956"/>
      <c r="AY80" s="1872"/>
      <c r="AZ80" s="1872"/>
      <c r="BA80" s="1872"/>
      <c r="BB80" s="1872"/>
      <c r="BC80" s="956"/>
      <c r="BD80" s="1872"/>
      <c r="BE80" s="1872"/>
      <c r="BF80" s="1872"/>
      <c r="BG80" s="1872"/>
      <c r="BH80" s="1872"/>
      <c r="BI80" s="1785"/>
      <c r="BJ80" s="956"/>
      <c r="BK80" s="1853" t="str">
        <f t="shared" si="58"/>
        <v>National cargo air</v>
      </c>
      <c r="BL80" s="1838">
        <f t="shared" si="58"/>
        <v>0</v>
      </c>
      <c r="BM80" s="1809">
        <f t="shared" si="58"/>
        <v>0</v>
      </c>
      <c r="BN80" s="1873">
        <f t="shared" si="58"/>
        <v>0</v>
      </c>
      <c r="BO80" s="956"/>
      <c r="BP80" s="956"/>
      <c r="BQ80" s="956"/>
      <c r="BR80" s="956"/>
      <c r="BS80" s="956"/>
      <c r="BT80" s="956"/>
      <c r="BU80" s="956"/>
      <c r="BV80" s="956"/>
      <c r="BW80" s="956"/>
      <c r="BX80" s="956"/>
      <c r="BY80" s="956"/>
      <c r="BZ80" s="956"/>
      <c r="CA80" s="956"/>
      <c r="CB80" s="956"/>
      <c r="CC80" s="956"/>
      <c r="CD80" s="956"/>
      <c r="CE80" s="956"/>
      <c r="CF80" s="956"/>
      <c r="CG80" s="956"/>
      <c r="CH80" s="956"/>
      <c r="CI80" s="956"/>
      <c r="CJ80" s="956"/>
      <c r="CK80" s="956"/>
      <c r="CL80" s="956"/>
      <c r="CM80" s="956"/>
      <c r="CN80" s="956"/>
      <c r="CO80" s="956"/>
      <c r="CP80" s="956"/>
      <c r="CQ80" s="956"/>
      <c r="CR80" s="956"/>
      <c r="CS80" s="956"/>
      <c r="CT80" s="956"/>
      <c r="CU80" s="956"/>
      <c r="CV80" s="956"/>
      <c r="CW80" s="956"/>
      <c r="CX80" s="956"/>
      <c r="CY80" s="956"/>
      <c r="CZ80" s="956"/>
    </row>
    <row r="81" spans="1:104" ht="15.75" x14ac:dyDescent="0.25">
      <c r="A81"/>
      <c r="B81" s="119" t="str">
        <f>'Scenarios technology'!C25</f>
        <v>National rail</v>
      </c>
      <c r="C81" s="250">
        <f>'Scenarios technology'!I25</f>
        <v>73.821428571428584</v>
      </c>
      <c r="D81" s="236" t="s">
        <v>127</v>
      </c>
      <c r="E81" s="250">
        <f>'Scenarios technology'!I165</f>
        <v>75.687865585065424</v>
      </c>
      <c r="F81" s="248">
        <f>E81-C81</f>
        <v>1.8664370136368404</v>
      </c>
      <c r="G81" s="250">
        <f>'Scenarios technology'!I305</f>
        <v>86.123309798308867</v>
      </c>
      <c r="H81" s="248">
        <f>G81-E81</f>
        <v>10.435444213243443</v>
      </c>
      <c r="I81" s="302">
        <f>(G81+K81)/2</f>
        <v>87.212731490455354</v>
      </c>
      <c r="J81" s="248">
        <f>I81-G81</f>
        <v>1.0894216921464874</v>
      </c>
      <c r="K81" s="250">
        <f>'Scenarios technology'!I445</f>
        <v>88.302153182601856</v>
      </c>
      <c r="L81" s="248">
        <f>K81-I81</f>
        <v>1.0894216921465016</v>
      </c>
      <c r="O81" s="70"/>
      <c r="P81" s="70"/>
      <c r="Q81" s="6"/>
      <c r="R81" s="73"/>
      <c r="S81" s="6"/>
      <c r="T81" s="6"/>
      <c r="U81" s="6"/>
      <c r="V81" s="70"/>
      <c r="W81" s="6"/>
      <c r="X81" s="6"/>
      <c r="Y81" s="6"/>
      <c r="Z81" s="6"/>
      <c r="AA81" s="6"/>
      <c r="AB81" s="6"/>
      <c r="AC81" s="6"/>
      <c r="AD81" s="6"/>
      <c r="AE81" s="6"/>
      <c r="AF81" s="6"/>
      <c r="AG81" s="6"/>
      <c r="AH81" s="6"/>
      <c r="AI81"/>
      <c r="AJ81" s="70"/>
      <c r="AK81" s="70"/>
      <c r="AL81" s="70"/>
      <c r="AM81" s="70"/>
      <c r="AP81" s="1872"/>
      <c r="AQ81" s="1872"/>
      <c r="AR81" s="1872"/>
      <c r="AS81" s="1872"/>
      <c r="AT81" s="1872"/>
      <c r="AU81" s="1872"/>
      <c r="AV81" s="1872"/>
      <c r="AW81" s="1785"/>
      <c r="AX81" s="956"/>
      <c r="AY81" s="1872"/>
      <c r="AZ81" s="1872"/>
      <c r="BA81" s="1872"/>
      <c r="BB81" s="1872"/>
      <c r="BC81" s="956"/>
      <c r="BD81" s="1872"/>
      <c r="BE81" s="1872"/>
      <c r="BF81" s="1872"/>
      <c r="BG81" s="1872"/>
      <c r="BH81" s="1872"/>
      <c r="BI81" s="1785"/>
      <c r="BJ81" s="956"/>
      <c r="BK81" s="1853" t="str">
        <f t="shared" si="58"/>
        <v>Internationa cargo air</v>
      </c>
      <c r="BL81" s="1838">
        <f t="shared" si="58"/>
        <v>2.3E-2</v>
      </c>
      <c r="BM81" s="1809">
        <f t="shared" si="58"/>
        <v>2.3E-2</v>
      </c>
      <c r="BN81" s="1873">
        <f t="shared" si="58"/>
        <v>1.15E-2</v>
      </c>
      <c r="BO81" s="956"/>
      <c r="BP81" s="956"/>
      <c r="BQ81" s="956"/>
      <c r="BR81" s="956"/>
      <c r="BS81" s="956"/>
      <c r="BT81" s="956"/>
      <c r="BU81" s="956"/>
      <c r="BV81" s="956"/>
      <c r="BW81" s="956"/>
      <c r="BX81" s="956"/>
      <c r="BY81" s="956"/>
      <c r="BZ81" s="956"/>
      <c r="CA81" s="956"/>
      <c r="CB81" s="956"/>
      <c r="CC81" s="956"/>
      <c r="CD81" s="956"/>
      <c r="CE81" s="956"/>
      <c r="CF81" s="956"/>
      <c r="CG81" s="956"/>
      <c r="CH81" s="956"/>
      <c r="CI81" s="956"/>
      <c r="CJ81" s="956"/>
      <c r="CK81" s="956"/>
      <c r="CL81" s="956"/>
      <c r="CM81" s="956"/>
      <c r="CN81" s="956"/>
      <c r="CO81" s="956"/>
      <c r="CP81" s="956"/>
      <c r="CQ81" s="956"/>
      <c r="CR81" s="956"/>
      <c r="CS81" s="956"/>
      <c r="CT81" s="956"/>
      <c r="CU81" s="956"/>
      <c r="CV81" s="956"/>
      <c r="CW81" s="956"/>
      <c r="CX81" s="956"/>
      <c r="CY81" s="956"/>
      <c r="CZ81" s="956"/>
    </row>
    <row r="82" spans="1:104" ht="16.5" customHeight="1" x14ac:dyDescent="0.25">
      <c r="A82"/>
      <c r="B82" s="119" t="str">
        <f>'Scenarios technology'!C523</f>
        <v xml:space="preserve">National rail </v>
      </c>
      <c r="C82" s="246">
        <f>'Scenarios technology'!I103</f>
        <v>0.60180180180180176</v>
      </c>
      <c r="D82" s="233"/>
      <c r="E82" s="246">
        <f>'Scenarios technology'!I243</f>
        <v>0.60180180180180187</v>
      </c>
      <c r="F82" s="248">
        <f>E82-C82</f>
        <v>0</v>
      </c>
      <c r="G82" s="246">
        <f>'Scenarios technology'!I383</f>
        <v>0.60180180180180176</v>
      </c>
      <c r="H82" s="248">
        <f>G82-E82</f>
        <v>0</v>
      </c>
      <c r="I82" s="303">
        <f>'Scenarios technology'!I523</f>
        <v>0.60180180180180176</v>
      </c>
      <c r="J82" s="248">
        <f>I82-G82</f>
        <v>0</v>
      </c>
      <c r="K82" s="246">
        <f>'Scenarios technology'!I523</f>
        <v>0.60180180180180176</v>
      </c>
      <c r="L82" s="248">
        <f>K82-I82</f>
        <v>0</v>
      </c>
      <c r="M82" s="70"/>
      <c r="N82" s="70"/>
      <c r="O82" s="70"/>
      <c r="P82" s="70"/>
      <c r="Q82" s="70"/>
      <c r="R82" s="70"/>
      <c r="S82" s="70"/>
      <c r="T82" s="70"/>
      <c r="U82" s="70"/>
      <c r="V82" s="70"/>
      <c r="W82" s="6"/>
      <c r="X82" s="6"/>
      <c r="Y82" s="6"/>
      <c r="Z82" s="6"/>
      <c r="AA82" s="6"/>
      <c r="AB82" s="6"/>
      <c r="AC82" s="6"/>
      <c r="AD82" s="6"/>
      <c r="AE82" s="6"/>
      <c r="AF82" s="6"/>
      <c r="AG82" s="6"/>
      <c r="AH82" s="6"/>
      <c r="AI82"/>
      <c r="AJ82" s="70"/>
      <c r="AK82" s="70"/>
      <c r="AL82" s="70"/>
      <c r="AM82" s="70"/>
      <c r="AN82"/>
      <c r="AO82"/>
      <c r="AP82" s="1785"/>
      <c r="AQ82" s="1785"/>
      <c r="AR82" s="1785"/>
      <c r="AS82" s="1785"/>
      <c r="AT82" s="1785"/>
      <c r="AU82" s="1785"/>
      <c r="AV82" s="1785"/>
      <c r="AW82" s="1785"/>
      <c r="AX82" s="956"/>
      <c r="AY82" s="1785"/>
      <c r="AZ82" s="1785"/>
      <c r="BA82" s="1785"/>
      <c r="BB82" s="1785"/>
      <c r="BC82" s="956"/>
      <c r="BD82" s="1785"/>
      <c r="BE82" s="1785"/>
      <c r="BF82" s="1785"/>
      <c r="BG82" s="1785"/>
      <c r="BH82" s="1785"/>
      <c r="BI82" s="1785"/>
      <c r="BJ82" s="956"/>
      <c r="BK82" s="1853" t="str">
        <f t="shared" si="58"/>
        <v>National cargo sea</v>
      </c>
      <c r="BL82" s="1838">
        <f t="shared" si="58"/>
        <v>9.4999999999999998E-3</v>
      </c>
      <c r="BM82" s="1809">
        <f t="shared" si="58"/>
        <v>9.4999999999999998E-3</v>
      </c>
      <c r="BN82" s="1873">
        <f t="shared" si="58"/>
        <v>4.7499999999999999E-3</v>
      </c>
      <c r="BO82" s="956"/>
      <c r="BP82" s="956"/>
      <c r="BQ82" s="956"/>
      <c r="BR82" s="956"/>
      <c r="BS82" s="956"/>
      <c r="BT82" s="956"/>
      <c r="BU82" s="956"/>
      <c r="BV82" s="956"/>
      <c r="BW82" s="956"/>
      <c r="BX82" s="956"/>
      <c r="BY82" s="956"/>
      <c r="BZ82" s="956"/>
      <c r="CA82" s="956"/>
      <c r="CB82" s="956"/>
      <c r="CC82" s="956"/>
      <c r="CD82" s="956"/>
      <c r="CE82" s="956"/>
      <c r="CF82" s="956"/>
      <c r="CG82" s="956"/>
      <c r="CH82" s="956"/>
      <c r="CI82" s="956"/>
      <c r="CJ82" s="956"/>
      <c r="CK82" s="956"/>
      <c r="CL82" s="956"/>
      <c r="CM82" s="956"/>
      <c r="CN82" s="956"/>
      <c r="CO82" s="956"/>
      <c r="CP82" s="956"/>
      <c r="CQ82" s="956"/>
      <c r="CR82" s="956"/>
      <c r="CS82" s="956"/>
      <c r="CT82" s="956"/>
      <c r="CU82" s="956"/>
      <c r="CV82" s="956"/>
      <c r="CW82" s="956"/>
      <c r="CX82" s="956"/>
      <c r="CY82" s="956"/>
      <c r="CZ82" s="956"/>
    </row>
    <row r="83" spans="1:104" s="73" customFormat="1" ht="16.5" customHeight="1" thickBot="1" x14ac:dyDescent="0.3">
      <c r="B83" s="305" t="s">
        <v>277</v>
      </c>
      <c r="C83" s="308"/>
      <c r="D83" s="298"/>
      <c r="E83" s="308"/>
      <c r="F83" s="309">
        <f>(E80/C80)^(1/10)-1</f>
        <v>2.480008038746373E-3</v>
      </c>
      <c r="G83" s="308"/>
      <c r="H83" s="309">
        <f>(G80/C80)^(1/20)-1</f>
        <v>7.6780940642207085E-3</v>
      </c>
      <c r="I83" s="297"/>
      <c r="J83" s="309">
        <f>(I80/C80)^(1/30)-1</f>
        <v>5.5305334085371527E-3</v>
      </c>
      <c r="K83" s="297"/>
      <c r="L83" s="309">
        <f>(K80/C80)^(1/30)-1</f>
        <v>5.9438784992804639E-3</v>
      </c>
      <c r="M83" s="319"/>
      <c r="N83" s="319"/>
      <c r="O83" s="319"/>
      <c r="P83" s="319"/>
      <c r="Q83" s="319"/>
      <c r="R83" s="319"/>
      <c r="S83" s="319"/>
      <c r="T83" s="319"/>
      <c r="U83" s="319"/>
      <c r="V83" s="319"/>
      <c r="W83" s="6"/>
      <c r="X83" s="6"/>
      <c r="Y83" s="6"/>
      <c r="Z83" s="6"/>
      <c r="AA83" s="6"/>
      <c r="AB83" s="6"/>
      <c r="AC83" s="6"/>
      <c r="AD83" s="6"/>
      <c r="AE83" s="6"/>
      <c r="AF83" s="6"/>
      <c r="AG83" s="6"/>
      <c r="AH83" s="6"/>
      <c r="AJ83" s="319"/>
      <c r="AK83" s="319"/>
      <c r="AL83" s="319"/>
      <c r="AM83" s="319"/>
      <c r="AP83" s="1785"/>
      <c r="AQ83" s="1785"/>
      <c r="AR83" s="1785"/>
      <c r="AS83" s="1785"/>
      <c r="AT83" s="1785"/>
      <c r="AU83" s="1785"/>
      <c r="AV83" s="1785"/>
      <c r="AW83" s="1785"/>
      <c r="AX83" s="956"/>
      <c r="AY83" s="1785"/>
      <c r="AZ83" s="1785"/>
      <c r="BA83" s="1785"/>
      <c r="BB83" s="1785"/>
      <c r="BC83" s="956"/>
      <c r="BD83" s="1785"/>
      <c r="BE83" s="1785"/>
      <c r="BF83" s="1785"/>
      <c r="BG83" s="1785"/>
      <c r="BH83" s="1785"/>
      <c r="BI83" s="1785"/>
      <c r="BJ83" s="956"/>
      <c r="BK83" s="1855" t="str">
        <f t="shared" si="58"/>
        <v>International cargo sea</v>
      </c>
      <c r="BL83" s="1840">
        <f t="shared" si="58"/>
        <v>2.3E-2</v>
      </c>
      <c r="BM83" s="1839">
        <f t="shared" si="58"/>
        <v>2.3E-2</v>
      </c>
      <c r="BN83" s="1874">
        <f t="shared" si="58"/>
        <v>1.15E-2</v>
      </c>
      <c r="BO83" s="956"/>
      <c r="BP83" s="956"/>
      <c r="BQ83" s="956"/>
      <c r="BR83" s="956"/>
      <c r="BS83" s="956"/>
      <c r="BT83" s="956"/>
      <c r="BU83" s="956"/>
      <c r="BV83" s="956"/>
      <c r="BW83" s="956"/>
      <c r="BX83" s="956"/>
      <c r="BY83" s="956"/>
      <c r="BZ83" s="956"/>
      <c r="CA83" s="956"/>
      <c r="CB83" s="956"/>
      <c r="CC83" s="956"/>
      <c r="CD83" s="956"/>
      <c r="CE83" s="956"/>
      <c r="CF83" s="956"/>
      <c r="CG83" s="956"/>
      <c r="CH83" s="956"/>
      <c r="CI83" s="956"/>
      <c r="CJ83" s="956"/>
      <c r="CK83" s="956"/>
      <c r="CL83" s="956"/>
      <c r="CM83" s="956"/>
      <c r="CN83" s="956"/>
      <c r="CO83" s="956"/>
      <c r="CP83" s="956"/>
      <c r="CQ83" s="956"/>
      <c r="CR83" s="956"/>
      <c r="CS83" s="956"/>
      <c r="CT83" s="956"/>
      <c r="CU83" s="956"/>
      <c r="CV83" s="956"/>
      <c r="CW83" s="956"/>
      <c r="CX83" s="956"/>
      <c r="CY83" s="956"/>
      <c r="CZ83" s="956"/>
    </row>
    <row r="84" spans="1:104" ht="17.25" thickTop="1" thickBot="1" x14ac:dyDescent="0.3">
      <c r="A84"/>
      <c r="B84" s="129" t="s">
        <v>9</v>
      </c>
      <c r="C84" s="244">
        <f>C85</f>
        <v>3248.3223933319796</v>
      </c>
      <c r="D84" s="245"/>
      <c r="E84" s="239">
        <f>E85</f>
        <v>3247.9975610926463</v>
      </c>
      <c r="F84" s="241">
        <f>SUM(F85)</f>
        <v>-0.32483223933331828</v>
      </c>
      <c r="G84" s="239">
        <f>G85</f>
        <v>3247.9975610926463</v>
      </c>
      <c r="H84" s="241">
        <f>SUM(H85)</f>
        <v>0</v>
      </c>
      <c r="I84" s="307">
        <f>I85</f>
        <v>3247.9975610926463</v>
      </c>
      <c r="J84" s="241">
        <f>SUM(J85)</f>
        <v>0</v>
      </c>
      <c r="K84" s="239">
        <f>K85</f>
        <v>3247.9975610926463</v>
      </c>
      <c r="L84" s="241">
        <f>SUM(L85)</f>
        <v>0</v>
      </c>
      <c r="M84" s="70"/>
      <c r="N84" s="70"/>
      <c r="Q84" s="70"/>
      <c r="R84" s="70"/>
      <c r="S84" s="70"/>
      <c r="T84" s="70"/>
      <c r="U84" s="70"/>
      <c r="AH84" s="6"/>
      <c r="AI84"/>
      <c r="AJ84" s="70"/>
      <c r="AK84" s="70"/>
      <c r="AL84" s="70"/>
      <c r="AM84" s="70"/>
      <c r="AN84"/>
      <c r="AO84"/>
      <c r="AP84" s="1785"/>
      <c r="AQ84" s="1785"/>
      <c r="AR84" s="1785"/>
      <c r="AS84" s="1785"/>
      <c r="AT84" s="1785"/>
      <c r="AU84" s="1785"/>
      <c r="AV84" s="1785"/>
      <c r="AW84" s="1785"/>
      <c r="AX84" s="956"/>
      <c r="AY84" s="1785"/>
      <c r="AZ84" s="1785"/>
      <c r="BA84" s="1785"/>
      <c r="BB84" s="1785"/>
      <c r="BC84" s="956"/>
      <c r="BD84" s="1785"/>
      <c r="BE84" s="1785"/>
      <c r="BF84" s="1785"/>
      <c r="BG84" s="1785"/>
      <c r="BH84" s="1785"/>
      <c r="BI84" s="1785"/>
      <c r="BJ84" s="956"/>
      <c r="BK84" s="1856" t="str">
        <f>AY67</f>
        <v>Total</v>
      </c>
      <c r="BL84" s="1843">
        <f>AZ67</f>
        <v>2.1132037359751221E-2</v>
      </c>
      <c r="BM84" s="1842">
        <f>BA67</f>
        <v>2.1427546715225176E-2</v>
      </c>
      <c r="BN84" s="1875">
        <f>BB67</f>
        <v>1.081809600074668E-2</v>
      </c>
      <c r="BO84" s="956"/>
      <c r="BP84" s="956"/>
      <c r="BQ84" s="956"/>
      <c r="BR84" s="956"/>
      <c r="BS84" s="956"/>
      <c r="BT84" s="956"/>
      <c r="BU84" s="956"/>
      <c r="BV84" s="956"/>
      <c r="BW84" s="956"/>
      <c r="BX84" s="956"/>
      <c r="BY84" s="956"/>
      <c r="BZ84" s="956"/>
      <c r="CA84" s="956"/>
      <c r="CB84" s="956"/>
      <c r="CC84" s="956"/>
      <c r="CD84" s="956"/>
      <c r="CE84" s="956"/>
      <c r="CF84" s="956"/>
      <c r="CG84" s="956"/>
      <c r="CH84" s="956"/>
      <c r="CI84" s="956"/>
      <c r="CJ84" s="956"/>
      <c r="CK84" s="956"/>
      <c r="CL84" s="956"/>
      <c r="CM84" s="956"/>
      <c r="CN84" s="956"/>
      <c r="CO84" s="956"/>
      <c r="CP84" s="956"/>
      <c r="CQ84" s="956"/>
      <c r="CR84" s="956"/>
      <c r="CS84" s="956"/>
      <c r="CT84" s="956"/>
      <c r="CU84" s="956"/>
      <c r="CV84" s="956"/>
      <c r="CW84" s="956"/>
      <c r="CX84" s="956"/>
      <c r="CY84" s="956"/>
      <c r="CZ84" s="956"/>
    </row>
    <row r="85" spans="1:104" ht="16.5" thickBot="1" x14ac:dyDescent="0.3">
      <c r="A85"/>
      <c r="B85" s="306" t="str">
        <f>'Scenarios technology'!C41</f>
        <v>Bicycle/walking</v>
      </c>
      <c r="C85" s="237">
        <f>'Scenarios technology'!I41</f>
        <v>3248.3223933319796</v>
      </c>
      <c r="D85" s="238"/>
      <c r="E85" s="237">
        <f>'Scenarios technology'!I181</f>
        <v>3247.9975610926463</v>
      </c>
      <c r="F85" s="238">
        <f>E85-C85</f>
        <v>-0.32483223933331828</v>
      </c>
      <c r="G85" s="237">
        <f>'Scenarios technology'!I321</f>
        <v>3247.9975610926463</v>
      </c>
      <c r="H85" s="238">
        <f>G85-E85</f>
        <v>0</v>
      </c>
      <c r="I85" s="304">
        <f>(G85+K85)/2</f>
        <v>3247.9975610926463</v>
      </c>
      <c r="J85" s="238">
        <f>I85-G85</f>
        <v>0</v>
      </c>
      <c r="K85" s="237">
        <f>'Scenarios technology'!I461</f>
        <v>3247.9975610926463</v>
      </c>
      <c r="L85" s="238">
        <f>K85-I85</f>
        <v>0</v>
      </c>
      <c r="M85" s="225"/>
      <c r="O85" s="225"/>
      <c r="P85" s="225"/>
      <c r="Q85" s="70"/>
      <c r="R85" s="70"/>
      <c r="S85" s="70"/>
      <c r="T85" s="70"/>
      <c r="U85" s="70"/>
      <c r="AI85"/>
      <c r="AJ85" s="70"/>
      <c r="AK85" s="70"/>
      <c r="AL85" s="70"/>
      <c r="AM85" s="70"/>
      <c r="AN85"/>
      <c r="AO85"/>
      <c r="AP85" s="1785"/>
      <c r="AQ85" s="1785"/>
      <c r="AR85" s="1785"/>
      <c r="AS85" s="1785"/>
      <c r="AT85" s="1785"/>
      <c r="AU85" s="1785"/>
      <c r="AV85" s="1785"/>
      <c r="AW85" s="1785"/>
      <c r="AX85" s="956"/>
      <c r="AY85" s="1785"/>
      <c r="AZ85" s="1785"/>
      <c r="BA85" s="1785"/>
      <c r="BB85" s="1785"/>
      <c r="BC85" s="956"/>
      <c r="BD85" s="1785"/>
      <c r="BE85" s="1785"/>
      <c r="BF85" s="1785"/>
      <c r="BG85" s="1785"/>
      <c r="BH85" s="1785"/>
      <c r="BI85" s="1785"/>
      <c r="BJ85" s="956"/>
      <c r="BK85" s="956"/>
      <c r="BL85" s="956"/>
      <c r="BM85" s="956"/>
      <c r="BN85" s="956"/>
      <c r="BO85" s="956"/>
      <c r="BP85" s="956"/>
      <c r="BQ85" s="956"/>
      <c r="BR85" s="956"/>
      <c r="BS85" s="956"/>
      <c r="BT85" s="956"/>
      <c r="BU85" s="956"/>
      <c r="BV85" s="956"/>
      <c r="BW85" s="956"/>
      <c r="BX85" s="956"/>
      <c r="BY85" s="956"/>
      <c r="BZ85" s="956"/>
      <c r="CA85" s="956"/>
      <c r="CB85" s="956"/>
      <c r="CC85" s="956"/>
      <c r="CD85" s="956"/>
      <c r="CE85" s="956"/>
      <c r="CF85" s="956"/>
      <c r="CG85" s="956"/>
      <c r="CH85" s="956"/>
      <c r="CI85" s="956"/>
      <c r="CJ85" s="956"/>
      <c r="CK85" s="956"/>
      <c r="CL85" s="956"/>
      <c r="CM85" s="956"/>
      <c r="CN85" s="956"/>
      <c r="CO85" s="956"/>
      <c r="CP85" s="956"/>
      <c r="CQ85" s="956"/>
      <c r="CR85" s="956"/>
      <c r="CS85" s="956"/>
      <c r="CT85" s="956"/>
      <c r="CU85" s="956"/>
      <c r="CV85" s="956"/>
      <c r="CW85" s="956"/>
      <c r="CX85" s="956"/>
      <c r="CY85" s="956"/>
      <c r="CZ85" s="956"/>
    </row>
    <row r="86" spans="1:104" ht="15.75" thickBot="1" x14ac:dyDescent="0.3">
      <c r="A86"/>
      <c r="M86" s="225"/>
      <c r="N86" s="225"/>
      <c r="O86" s="225"/>
      <c r="P86" s="225"/>
      <c r="Q86" s="70"/>
      <c r="R86" s="70"/>
      <c r="S86" s="70"/>
      <c r="T86" s="70"/>
      <c r="U86" s="70"/>
      <c r="AI86"/>
      <c r="AJ86" s="70"/>
      <c r="AK86" s="70"/>
      <c r="AL86" s="70"/>
      <c r="AM86" s="70"/>
      <c r="AN86"/>
      <c r="AO86"/>
      <c r="AP86" s="956"/>
      <c r="AQ86" s="956"/>
      <c r="AR86" s="956"/>
      <c r="AS86" s="956"/>
      <c r="AT86" s="956"/>
      <c r="AU86" s="956"/>
      <c r="AV86" s="956"/>
      <c r="AW86" s="956"/>
      <c r="AX86" s="956"/>
      <c r="AY86" s="956"/>
      <c r="AZ86" s="956"/>
      <c r="BA86" s="956"/>
      <c r="BB86" s="956"/>
      <c r="BC86" s="956"/>
      <c r="BD86" s="956"/>
      <c r="BE86" s="956"/>
      <c r="BF86" s="956"/>
      <c r="BG86" s="956"/>
      <c r="BH86" s="956"/>
      <c r="BI86" s="956"/>
      <c r="BJ86" s="956"/>
      <c r="BK86" s="956"/>
      <c r="BL86" s="956"/>
      <c r="BM86" s="956"/>
      <c r="BN86" s="956"/>
      <c r="BO86" s="956"/>
      <c r="BP86" s="956"/>
      <c r="BQ86" s="956"/>
      <c r="BR86" s="956"/>
      <c r="BS86" s="956"/>
      <c r="BT86" s="956"/>
      <c r="BU86" s="956"/>
      <c r="BV86" s="956"/>
      <c r="BW86" s="956"/>
      <c r="BX86" s="956"/>
      <c r="BY86" s="956"/>
      <c r="BZ86" s="956"/>
      <c r="CA86" s="956"/>
      <c r="CB86" s="956"/>
      <c r="CC86" s="956"/>
      <c r="CD86" s="956"/>
      <c r="CE86" s="956"/>
      <c r="CF86" s="956"/>
      <c r="CG86" s="956"/>
      <c r="CH86" s="956"/>
      <c r="CI86" s="956"/>
      <c r="CJ86" s="956"/>
      <c r="CK86" s="956"/>
      <c r="CL86" s="956"/>
      <c r="CM86" s="956"/>
      <c r="CN86" s="956"/>
      <c r="CO86" s="956"/>
      <c r="CP86" s="956"/>
      <c r="CQ86" s="956"/>
      <c r="CR86" s="956"/>
      <c r="CS86" s="956"/>
      <c r="CT86" s="956"/>
      <c r="CU86" s="956"/>
      <c r="CV86" s="956"/>
      <c r="CW86" s="956"/>
      <c r="CX86" s="956"/>
      <c r="CY86" s="956"/>
      <c r="CZ86" s="956"/>
    </row>
    <row r="87" spans="1:104" ht="27" thickBot="1" x14ac:dyDescent="0.45">
      <c r="A87"/>
      <c r="B87" s="202" t="s">
        <v>163</v>
      </c>
      <c r="C87" s="210"/>
      <c r="M87" s="225"/>
      <c r="N87" s="225"/>
      <c r="O87" s="225"/>
      <c r="P87" s="225"/>
      <c r="Q87" s="70"/>
      <c r="R87" s="70"/>
      <c r="S87" s="70"/>
      <c r="T87" s="70"/>
      <c r="U87" s="70"/>
      <c r="AI87"/>
      <c r="AJ87" s="70"/>
      <c r="AK87" s="70"/>
      <c r="AL87" s="70"/>
      <c r="AM87" s="70"/>
      <c r="AN87"/>
      <c r="AO87"/>
      <c r="AP87" s="956"/>
      <c r="AQ87" s="956"/>
      <c r="AR87" s="956"/>
      <c r="AS87" s="956"/>
      <c r="AT87" s="956"/>
      <c r="AU87" s="956"/>
      <c r="AV87" s="956"/>
      <c r="AW87" s="956"/>
      <c r="AX87" s="956"/>
      <c r="AY87" s="956"/>
      <c r="AZ87" s="956"/>
      <c r="BA87" s="956"/>
      <c r="BB87" s="956"/>
      <c r="BC87" s="956"/>
      <c r="BD87" s="956"/>
      <c r="BE87" s="956"/>
      <c r="BF87" s="956"/>
      <c r="BG87" s="956"/>
      <c r="BH87" s="956"/>
      <c r="BI87" s="956"/>
      <c r="BJ87" s="956"/>
      <c r="BK87" s="956"/>
      <c r="BL87" s="956"/>
      <c r="BM87" s="956"/>
      <c r="BN87" s="956"/>
      <c r="BO87" s="956"/>
      <c r="BP87" s="956"/>
      <c r="BQ87" s="956"/>
      <c r="BR87" s="956"/>
      <c r="BS87" s="956"/>
      <c r="BT87" s="956"/>
      <c r="BU87" s="956"/>
      <c r="BV87" s="956"/>
      <c r="BW87" s="956"/>
      <c r="BX87" s="956"/>
      <c r="BY87" s="956"/>
      <c r="BZ87" s="956"/>
      <c r="CA87" s="956"/>
      <c r="CB87" s="956"/>
      <c r="CC87" s="956"/>
      <c r="CD87" s="956"/>
      <c r="CE87" s="956"/>
      <c r="CF87" s="956"/>
      <c r="CG87" s="956"/>
      <c r="CH87" s="956"/>
      <c r="CI87" s="956"/>
      <c r="CJ87" s="956"/>
      <c r="CK87" s="956"/>
      <c r="CL87" s="956"/>
      <c r="CM87" s="956"/>
      <c r="CN87" s="956"/>
      <c r="CO87" s="956"/>
      <c r="CP87" s="956"/>
      <c r="CQ87" s="956"/>
      <c r="CR87" s="956"/>
      <c r="CS87" s="956"/>
      <c r="CT87" s="956"/>
      <c r="CU87" s="956"/>
      <c r="CV87" s="956"/>
      <c r="CW87" s="956"/>
      <c r="CX87" s="956"/>
      <c r="CY87" s="956"/>
      <c r="CZ87" s="956"/>
    </row>
    <row r="88" spans="1:104" s="73" customFormat="1" ht="15.75" thickBot="1" x14ac:dyDescent="0.3">
      <c r="B88" s="7"/>
      <c r="M88" s="880"/>
      <c r="N88" s="880"/>
      <c r="O88" s="880"/>
      <c r="P88" s="880"/>
      <c r="AJ88" s="880"/>
      <c r="AK88" s="880"/>
      <c r="AL88" s="880"/>
      <c r="AM88" s="880"/>
      <c r="AP88" s="956"/>
      <c r="AQ88" s="956"/>
      <c r="AR88" s="956"/>
      <c r="AS88" s="956"/>
      <c r="AT88" s="956"/>
      <c r="AU88" s="956"/>
      <c r="AV88" s="956"/>
      <c r="AW88" s="956"/>
      <c r="AX88" s="956"/>
      <c r="AY88" s="956"/>
      <c r="AZ88" s="956"/>
      <c r="BA88" s="956"/>
      <c r="BB88" s="956"/>
      <c r="BC88" s="956"/>
      <c r="BD88" s="956"/>
      <c r="BE88" s="956"/>
      <c r="BF88" s="956"/>
      <c r="BG88" s="956"/>
      <c r="BH88" s="956"/>
      <c r="BI88" s="956"/>
      <c r="BJ88" s="956"/>
      <c r="BK88" s="956"/>
      <c r="BL88" s="956"/>
      <c r="BM88" s="956"/>
      <c r="BN88" s="956"/>
      <c r="BO88" s="956"/>
      <c r="BP88" s="956"/>
      <c r="BQ88" s="956"/>
      <c r="BR88" s="956"/>
      <c r="BS88" s="956"/>
      <c r="BT88" s="956"/>
      <c r="BU88" s="956"/>
      <c r="BV88" s="956"/>
      <c r="BW88" s="956"/>
      <c r="BX88" s="956"/>
      <c r="BY88" s="956"/>
      <c r="BZ88" s="956"/>
      <c r="CA88" s="956"/>
      <c r="CB88" s="956"/>
      <c r="CC88" s="956"/>
      <c r="CD88" s="956"/>
      <c r="CE88" s="956"/>
      <c r="CF88" s="956"/>
      <c r="CG88" s="956"/>
      <c r="CH88" s="956"/>
      <c r="CI88" s="956"/>
      <c r="CJ88" s="956"/>
      <c r="CK88" s="956"/>
      <c r="CL88" s="956"/>
      <c r="CM88" s="956"/>
      <c r="CN88" s="956"/>
      <c r="CO88" s="956"/>
      <c r="CP88" s="956"/>
      <c r="CQ88" s="956"/>
      <c r="CR88" s="956"/>
      <c r="CS88" s="956"/>
      <c r="CT88" s="956"/>
      <c r="CU88" s="956"/>
      <c r="CV88" s="956"/>
      <c r="CW88" s="956"/>
      <c r="CX88" s="956"/>
      <c r="CY88" s="956"/>
      <c r="CZ88" s="956"/>
    </row>
    <row r="89" spans="1:104" s="73" customFormat="1" x14ac:dyDescent="0.25">
      <c r="B89" s="1980" t="s">
        <v>377</v>
      </c>
      <c r="C89" s="1981"/>
      <c r="D89" s="1981"/>
      <c r="E89" s="1981"/>
      <c r="F89" s="1981"/>
      <c r="G89" s="1981"/>
      <c r="H89" s="1981"/>
      <c r="I89" s="1981"/>
      <c r="J89" s="1981"/>
      <c r="K89" s="1981"/>
      <c r="L89" s="1982"/>
      <c r="M89" s="880"/>
      <c r="N89" s="880"/>
      <c r="O89" s="880"/>
      <c r="P89" s="880"/>
      <c r="AJ89" s="880"/>
      <c r="AK89" s="880"/>
      <c r="AL89" s="880"/>
      <c r="AM89" s="880"/>
    </row>
    <row r="90" spans="1:104" s="73" customFormat="1" x14ac:dyDescent="0.25">
      <c r="B90" s="1983"/>
      <c r="C90" s="1984"/>
      <c r="D90" s="1984"/>
      <c r="E90" s="1984"/>
      <c r="F90" s="1984"/>
      <c r="G90" s="1984"/>
      <c r="H90" s="1984"/>
      <c r="I90" s="1984"/>
      <c r="J90" s="1984"/>
      <c r="K90" s="1984"/>
      <c r="L90" s="1985"/>
      <c r="M90" s="880"/>
      <c r="N90" s="880"/>
      <c r="O90" s="880"/>
      <c r="P90" s="880"/>
      <c r="AJ90" s="880"/>
      <c r="AK90" s="880"/>
      <c r="AL90" s="880"/>
      <c r="AM90" s="880"/>
    </row>
    <row r="91" spans="1:104" s="73" customFormat="1" x14ac:dyDescent="0.25">
      <c r="B91" s="1983"/>
      <c r="C91" s="1984"/>
      <c r="D91" s="1984"/>
      <c r="E91" s="1984"/>
      <c r="F91" s="1984"/>
      <c r="G91" s="1984"/>
      <c r="H91" s="1984"/>
      <c r="I91" s="1984"/>
      <c r="J91" s="1984"/>
      <c r="K91" s="1984"/>
      <c r="L91" s="1985"/>
      <c r="M91" s="880"/>
      <c r="N91" s="880"/>
      <c r="O91" s="880"/>
      <c r="P91" s="880"/>
      <c r="AJ91" s="880"/>
      <c r="AK91" s="880"/>
      <c r="AL91" s="880"/>
      <c r="AM91" s="880"/>
    </row>
    <row r="92" spans="1:104" s="73" customFormat="1" ht="15.75" thickBot="1" x14ac:dyDescent="0.3">
      <c r="B92" s="1986"/>
      <c r="C92" s="1987"/>
      <c r="D92" s="1987"/>
      <c r="E92" s="1987"/>
      <c r="F92" s="1987"/>
      <c r="G92" s="1987"/>
      <c r="H92" s="1987"/>
      <c r="I92" s="1987"/>
      <c r="J92" s="1987"/>
      <c r="K92" s="1987"/>
      <c r="L92" s="1988"/>
      <c r="M92" s="880"/>
      <c r="N92" s="880"/>
      <c r="O92" s="880"/>
      <c r="P92" s="880"/>
      <c r="AJ92" s="880"/>
      <c r="AK92" s="880"/>
      <c r="AL92" s="880"/>
      <c r="AM92" s="880"/>
    </row>
    <row r="93" spans="1:104" s="73" customFormat="1" x14ac:dyDescent="0.25">
      <c r="B93" s="7"/>
      <c r="M93" s="880"/>
      <c r="N93" s="880"/>
      <c r="O93" s="880"/>
      <c r="P93" s="880"/>
      <c r="AJ93" s="880"/>
      <c r="AK93" s="880"/>
      <c r="AL93" s="880"/>
      <c r="AM93" s="880"/>
    </row>
    <row r="94" spans="1:104" x14ac:dyDescent="0.25">
      <c r="A94"/>
      <c r="B94" s="7" t="s">
        <v>261</v>
      </c>
      <c r="M94" s="225"/>
      <c r="N94" s="225"/>
      <c r="O94" s="225"/>
      <c r="P94" s="225"/>
      <c r="Q94" s="73"/>
      <c r="R94" s="73"/>
      <c r="S94" s="73"/>
      <c r="T94" s="73"/>
      <c r="AI94"/>
      <c r="AJ94" s="70"/>
      <c r="AK94" s="70"/>
      <c r="AL94" s="70"/>
      <c r="AM94" s="70"/>
      <c r="AN94"/>
      <c r="AO94"/>
      <c r="AP94"/>
      <c r="AQ94"/>
    </row>
    <row r="95" spans="1:104" x14ac:dyDescent="0.25">
      <c r="A95"/>
      <c r="B95" s="314"/>
      <c r="C95" s="314" t="s">
        <v>225</v>
      </c>
      <c r="D95" s="314"/>
      <c r="E95" s="314"/>
      <c r="F95" s="314"/>
      <c r="G95" s="314"/>
      <c r="H95" s="314"/>
      <c r="I95" s="314"/>
      <c r="J95" s="314"/>
      <c r="K95" s="314"/>
      <c r="L95" s="314"/>
      <c r="M95" s="315"/>
      <c r="N95" s="315"/>
      <c r="O95" s="315"/>
      <c r="P95" s="315"/>
      <c r="Q95" s="73"/>
      <c r="R95" s="73"/>
      <c r="S95" s="73"/>
      <c r="T95" s="73"/>
      <c r="AI95"/>
      <c r="AJ95" s="70"/>
      <c r="AK95" s="70"/>
      <c r="AL95" s="70"/>
      <c r="AM95" s="70"/>
      <c r="AN95"/>
      <c r="AO95"/>
      <c r="AP95"/>
      <c r="AQ95"/>
    </row>
    <row r="96" spans="1:104" x14ac:dyDescent="0.25">
      <c r="A96"/>
      <c r="B96" s="2" t="s">
        <v>259</v>
      </c>
      <c r="C96" s="270">
        <v>8231.2568206799442</v>
      </c>
      <c r="D96" s="2" t="s">
        <v>397</v>
      </c>
      <c r="E96" s="2"/>
      <c r="F96" s="2"/>
      <c r="G96" s="2"/>
      <c r="H96" s="2" t="s">
        <v>258</v>
      </c>
      <c r="I96" s="2">
        <v>1</v>
      </c>
      <c r="J96" s="8"/>
      <c r="K96" s="8"/>
      <c r="L96" s="8"/>
      <c r="M96" s="316"/>
      <c r="N96" s="83"/>
      <c r="O96" s="83"/>
      <c r="P96" s="83"/>
      <c r="Q96" s="73"/>
      <c r="R96" s="73"/>
      <c r="S96" s="73"/>
      <c r="T96" s="73"/>
      <c r="AI96"/>
      <c r="AJ96" s="70"/>
      <c r="AK96" s="70"/>
      <c r="AL96" s="70"/>
      <c r="AM96" s="70"/>
      <c r="AN96"/>
      <c r="AO96"/>
      <c r="AP96"/>
      <c r="AQ96"/>
    </row>
    <row r="97" spans="1:43" x14ac:dyDescent="0.25">
      <c r="A97"/>
      <c r="B97" s="2" t="s">
        <v>262</v>
      </c>
      <c r="C97" s="270">
        <v>10221.096605338122</v>
      </c>
      <c r="D97" s="2" t="s">
        <v>398</v>
      </c>
      <c r="E97" s="2"/>
      <c r="F97" s="8"/>
      <c r="G97" s="8"/>
      <c r="H97" s="8"/>
      <c r="I97" s="8"/>
      <c r="M97" s="225"/>
      <c r="N97" s="225"/>
      <c r="Q97" s="73"/>
      <c r="R97" s="73"/>
      <c r="S97" s="73"/>
      <c r="T97" s="73"/>
      <c r="AI97"/>
      <c r="AJ97" s="70"/>
      <c r="AK97" s="70"/>
      <c r="AL97" s="70"/>
      <c r="AM97" s="70"/>
      <c r="AN97"/>
      <c r="AO97"/>
      <c r="AP97"/>
      <c r="AQ97"/>
    </row>
    <row r="98" spans="1:43" s="73" customFormat="1" x14ac:dyDescent="0.25">
      <c r="B98" s="2" t="s">
        <v>263</v>
      </c>
      <c r="C98" s="317">
        <f>C97/1.4</f>
        <v>7300.7832895272304</v>
      </c>
      <c r="D98" s="257" t="s">
        <v>399</v>
      </c>
      <c r="E98" s="2"/>
      <c r="F98" s="2"/>
      <c r="G98" s="2"/>
      <c r="H98" s="2"/>
      <c r="I98" s="2"/>
      <c r="M98" s="296"/>
      <c r="N98" s="296"/>
      <c r="AJ98" s="296"/>
      <c r="AK98" s="296"/>
      <c r="AL98" s="296"/>
      <c r="AM98" s="296"/>
    </row>
    <row r="99" spans="1:43" x14ac:dyDescent="0.25">
      <c r="A99"/>
      <c r="B99" s="314" t="s">
        <v>168</v>
      </c>
      <c r="C99" s="270">
        <v>2954.2873396446239</v>
      </c>
      <c r="D99" s="2" t="s">
        <v>397</v>
      </c>
      <c r="E99" s="314"/>
      <c r="F99" s="314" t="s">
        <v>215</v>
      </c>
      <c r="G99" s="314"/>
      <c r="H99" s="314"/>
      <c r="I99" s="314"/>
      <c r="J99" s="314"/>
      <c r="K99" s="314"/>
      <c r="L99" s="314"/>
      <c r="M99" s="314"/>
      <c r="N99" s="314"/>
      <c r="O99" s="314"/>
      <c r="P99" s="314"/>
      <c r="Q99" s="73"/>
      <c r="R99" s="73"/>
      <c r="S99" s="73"/>
      <c r="T99" s="73"/>
      <c r="AI99"/>
      <c r="AJ99" s="70"/>
      <c r="AK99" s="70"/>
      <c r="AL99" s="70"/>
      <c r="AM99" s="70"/>
      <c r="AN99"/>
      <c r="AO99"/>
      <c r="AP99"/>
      <c r="AQ99"/>
    </row>
    <row r="100" spans="1:43" s="73" customFormat="1" x14ac:dyDescent="0.25">
      <c r="B100" s="8" t="s">
        <v>275</v>
      </c>
      <c r="C100" s="270">
        <v>619.89355576744003</v>
      </c>
      <c r="D100" s="2" t="s">
        <v>397</v>
      </c>
      <c r="E100" s="2"/>
      <c r="F100" s="2"/>
      <c r="G100" s="2"/>
      <c r="H100" s="2"/>
      <c r="I100" s="2"/>
      <c r="J100" s="2"/>
      <c r="K100" s="2"/>
      <c r="L100" s="2"/>
      <c r="M100" s="2"/>
      <c r="N100" s="2"/>
      <c r="O100" s="2"/>
      <c r="P100" s="2"/>
      <c r="AJ100" s="319"/>
      <c r="AK100" s="319"/>
      <c r="AL100" s="319"/>
      <c r="AM100" s="319"/>
    </row>
    <row r="101" spans="1:43" x14ac:dyDescent="0.25">
      <c r="A101"/>
      <c r="B101" s="8" t="s">
        <v>278</v>
      </c>
      <c r="C101" s="278">
        <v>1642.343537126789</v>
      </c>
      <c r="D101" s="8" t="s">
        <v>397</v>
      </c>
      <c r="E101" s="8"/>
      <c r="F101" s="8" t="s">
        <v>257</v>
      </c>
      <c r="G101" s="2"/>
      <c r="H101" s="2"/>
      <c r="I101" s="2"/>
      <c r="J101" s="2"/>
      <c r="K101" s="2"/>
      <c r="L101" s="2"/>
      <c r="M101" s="2"/>
      <c r="N101" s="2"/>
      <c r="O101" s="2"/>
      <c r="P101" s="2"/>
      <c r="Q101" s="73"/>
      <c r="R101" s="73"/>
      <c r="S101" s="73"/>
      <c r="T101" s="73"/>
      <c r="AI101"/>
      <c r="AJ101" s="70"/>
      <c r="AK101" s="70"/>
      <c r="AL101" s="70"/>
      <c r="AM101" s="70"/>
      <c r="AN101"/>
      <c r="AO101"/>
      <c r="AP101"/>
      <c r="AQ101"/>
    </row>
    <row r="102" spans="1:43" x14ac:dyDescent="0.25">
      <c r="A102"/>
      <c r="B102" s="2" t="s">
        <v>401</v>
      </c>
      <c r="C102" s="270">
        <f>2.39832923418963*1000</f>
        <v>2398.3292341896299</v>
      </c>
      <c r="D102" s="2" t="s">
        <v>397</v>
      </c>
      <c r="E102" s="2"/>
      <c r="F102" s="2" t="s">
        <v>402</v>
      </c>
      <c r="G102" s="2"/>
      <c r="H102" s="2"/>
      <c r="I102" s="2"/>
      <c r="J102" s="2"/>
      <c r="K102" s="2"/>
      <c r="L102" s="2"/>
      <c r="M102" s="2"/>
      <c r="N102" s="2"/>
      <c r="O102" s="2"/>
      <c r="P102" s="2"/>
      <c r="Q102" s="73"/>
      <c r="R102" s="73"/>
      <c r="S102" s="73"/>
      <c r="T102" s="73"/>
      <c r="AI102"/>
      <c r="AJ102" s="70"/>
      <c r="AK102" s="70"/>
      <c r="AL102" s="70"/>
      <c r="AM102" s="70"/>
      <c r="AN102"/>
      <c r="AO102"/>
      <c r="AP102"/>
      <c r="AQ102"/>
    </row>
    <row r="103" spans="1:43" x14ac:dyDescent="0.25">
      <c r="A103"/>
      <c r="B103" s="2" t="s">
        <v>279</v>
      </c>
      <c r="C103" s="270">
        <f>3.91108180437935*1000</f>
        <v>3911.0818043793502</v>
      </c>
      <c r="D103" s="2" t="s">
        <v>397</v>
      </c>
      <c r="E103" s="83"/>
      <c r="F103" s="2" t="s">
        <v>220</v>
      </c>
      <c r="G103" s="2"/>
      <c r="H103" s="2"/>
      <c r="I103" s="2"/>
      <c r="J103" s="2"/>
      <c r="K103" s="2"/>
      <c r="L103" s="2"/>
      <c r="M103" s="2"/>
      <c r="N103" s="2"/>
      <c r="O103" s="2"/>
      <c r="P103" s="2"/>
      <c r="Q103" s="73"/>
      <c r="R103" s="73"/>
      <c r="S103" s="73"/>
      <c r="T103" s="73"/>
      <c r="X103"/>
      <c r="Y103" s="70"/>
      <c r="Z103" s="70"/>
      <c r="AA103" s="70"/>
      <c r="AB103" s="70"/>
      <c r="AC103"/>
      <c r="AD103"/>
      <c r="AE103"/>
      <c r="AF103"/>
      <c r="AG103"/>
      <c r="AH103"/>
      <c r="AI103"/>
      <c r="AJ103"/>
      <c r="AK103"/>
      <c r="AL103"/>
      <c r="AN103"/>
      <c r="AO103"/>
      <c r="AP103"/>
      <c r="AQ103"/>
    </row>
    <row r="104" spans="1:43" x14ac:dyDescent="0.25">
      <c r="A104"/>
      <c r="B104" s="2" t="s">
        <v>280</v>
      </c>
      <c r="C104" s="270">
        <f>2.00103355479269*1000+C103</f>
        <v>5912.1153591720404</v>
      </c>
      <c r="D104" s="2" t="s">
        <v>397</v>
      </c>
      <c r="E104" s="2"/>
      <c r="F104" s="2" t="s">
        <v>216</v>
      </c>
      <c r="G104" s="2"/>
      <c r="H104" s="2"/>
      <c r="I104" s="2"/>
      <c r="J104" s="2"/>
      <c r="K104" s="2"/>
      <c r="L104" s="2"/>
      <c r="M104" s="2"/>
      <c r="N104" s="2"/>
      <c r="O104" s="2"/>
      <c r="P104" s="2"/>
      <c r="Q104" s="73"/>
      <c r="R104" s="73"/>
      <c r="S104" s="73"/>
      <c r="T104" s="73"/>
      <c r="X104"/>
      <c r="Y104" s="70"/>
      <c r="Z104" s="70"/>
      <c r="AA104" s="70"/>
      <c r="AB104" s="70"/>
      <c r="AC104"/>
      <c r="AD104"/>
      <c r="AE104"/>
      <c r="AF104"/>
      <c r="AG104"/>
      <c r="AH104"/>
      <c r="AI104"/>
      <c r="AJ104"/>
      <c r="AK104"/>
      <c r="AL104"/>
      <c r="AN104"/>
      <c r="AO104"/>
      <c r="AP104"/>
      <c r="AQ104"/>
    </row>
    <row r="105" spans="1:43" x14ac:dyDescent="0.25">
      <c r="A105"/>
      <c r="B105" s="2" t="s">
        <v>281</v>
      </c>
      <c r="C105" s="857">
        <f>(J80*80)/2+C104</f>
        <v>5955.6922268579001</v>
      </c>
      <c r="D105" s="8" t="s">
        <v>385</v>
      </c>
      <c r="E105" s="8"/>
      <c r="F105" s="8" t="s">
        <v>221</v>
      </c>
      <c r="G105" s="2"/>
      <c r="H105" s="2"/>
      <c r="I105" s="2"/>
      <c r="J105" s="2"/>
      <c r="K105" s="2"/>
      <c r="L105" s="2"/>
      <c r="M105" s="2"/>
      <c r="N105" s="2"/>
      <c r="O105" s="2"/>
      <c r="P105" s="2"/>
      <c r="Q105" s="73"/>
      <c r="R105" s="73"/>
      <c r="S105" s="73"/>
      <c r="T105" s="73"/>
      <c r="X105"/>
      <c r="Y105" s="70"/>
      <c r="Z105" s="70"/>
      <c r="AA105" s="70"/>
      <c r="AB105" s="70"/>
      <c r="AC105"/>
      <c r="AD105"/>
      <c r="AE105"/>
      <c r="AF105"/>
      <c r="AG105"/>
      <c r="AH105"/>
      <c r="AI105"/>
      <c r="AJ105"/>
      <c r="AK105"/>
      <c r="AL105"/>
      <c r="AN105"/>
      <c r="AO105"/>
      <c r="AP105"/>
      <c r="AQ105"/>
    </row>
    <row r="106" spans="1:43" x14ac:dyDescent="0.25">
      <c r="A106"/>
      <c r="B106" s="257" t="s">
        <v>282</v>
      </c>
      <c r="C106" s="857">
        <f>L80*80+C104</f>
        <v>5999.2690945437607</v>
      </c>
      <c r="D106" s="34" t="s">
        <v>385</v>
      </c>
      <c r="E106" s="34"/>
      <c r="F106" s="34" t="s">
        <v>221</v>
      </c>
      <c r="G106" s="257"/>
      <c r="H106" s="257"/>
      <c r="I106" s="257"/>
      <c r="J106" s="257"/>
      <c r="K106" s="257"/>
      <c r="L106" s="257"/>
      <c r="M106" s="257"/>
      <c r="N106" s="257"/>
      <c r="O106" s="257"/>
      <c r="P106" s="257"/>
      <c r="U106"/>
      <c r="V106"/>
      <c r="W106"/>
      <c r="X106"/>
      <c r="Y106"/>
      <c r="Z106"/>
      <c r="AA106"/>
      <c r="AB106"/>
      <c r="AC106"/>
      <c r="AD106"/>
      <c r="AE106"/>
      <c r="AF106"/>
      <c r="AG106"/>
      <c r="AH106"/>
      <c r="AI106"/>
      <c r="AJ106"/>
      <c r="AK106"/>
      <c r="AL106"/>
      <c r="AN106"/>
      <c r="AO106"/>
      <c r="AP106"/>
      <c r="AQ106"/>
    </row>
    <row r="107" spans="1:43" s="73" customFormat="1" x14ac:dyDescent="0.25">
      <c r="B107" s="25" t="s">
        <v>265</v>
      </c>
      <c r="C107" s="318">
        <v>2017.3990376599024</v>
      </c>
      <c r="D107" s="314" t="s">
        <v>397</v>
      </c>
      <c r="E107" s="25"/>
      <c r="F107" s="25" t="s">
        <v>272</v>
      </c>
      <c r="G107" s="314"/>
      <c r="H107" s="314"/>
      <c r="I107" s="314"/>
      <c r="J107" s="314"/>
      <c r="K107" s="314"/>
      <c r="L107" s="314"/>
      <c r="M107" s="314"/>
      <c r="N107" s="314"/>
      <c r="O107" s="314"/>
      <c r="P107" s="314"/>
    </row>
    <row r="108" spans="1:43" s="73" customFormat="1" x14ac:dyDescent="0.25">
      <c r="B108" s="8" t="s">
        <v>266</v>
      </c>
      <c r="C108" s="270">
        <v>3627.5799846890905</v>
      </c>
      <c r="D108" s="2" t="s">
        <v>397</v>
      </c>
      <c r="E108" s="8"/>
      <c r="F108" s="8" t="s">
        <v>270</v>
      </c>
      <c r="G108" s="2"/>
      <c r="H108" s="2"/>
      <c r="I108" s="2"/>
      <c r="J108" s="2"/>
      <c r="K108" s="2"/>
      <c r="L108" s="2"/>
      <c r="M108" s="2"/>
      <c r="N108" s="2"/>
      <c r="O108" s="2"/>
      <c r="P108" s="2"/>
    </row>
    <row r="109" spans="1:43" s="73" customFormat="1" x14ac:dyDescent="0.25">
      <c r="B109" s="8" t="s">
        <v>267</v>
      </c>
      <c r="C109" s="270">
        <v>4946.5180910117351</v>
      </c>
      <c r="D109" s="2" t="s">
        <v>397</v>
      </c>
      <c r="E109" s="8"/>
      <c r="F109" s="8" t="s">
        <v>273</v>
      </c>
      <c r="G109" s="2"/>
      <c r="H109" s="2"/>
      <c r="I109" s="2"/>
      <c r="J109" s="2"/>
      <c r="K109" s="2"/>
      <c r="L109" s="2"/>
      <c r="M109" s="2"/>
      <c r="N109" s="2"/>
      <c r="O109" s="2"/>
      <c r="P109" s="2"/>
    </row>
    <row r="110" spans="1:43" s="73" customFormat="1" x14ac:dyDescent="0.25">
      <c r="B110" s="8" t="s">
        <v>268</v>
      </c>
      <c r="C110" s="270">
        <v>6265.4561973343807</v>
      </c>
      <c r="D110" s="2" t="s">
        <v>397</v>
      </c>
      <c r="E110" s="8"/>
      <c r="F110" s="8" t="s">
        <v>273</v>
      </c>
      <c r="G110" s="2"/>
      <c r="H110" s="2"/>
      <c r="I110" s="2"/>
      <c r="J110" s="2"/>
      <c r="K110" s="2"/>
      <c r="L110" s="2"/>
      <c r="M110" s="2"/>
      <c r="N110" s="2"/>
      <c r="O110" s="2"/>
      <c r="P110" s="2"/>
    </row>
    <row r="111" spans="1:43" s="73" customFormat="1" x14ac:dyDescent="0.25">
      <c r="B111" s="8" t="s">
        <v>269</v>
      </c>
      <c r="C111" s="270">
        <v>7584.3943036570245</v>
      </c>
      <c r="D111" s="2" t="s">
        <v>397</v>
      </c>
      <c r="E111" s="8"/>
      <c r="F111" s="8" t="s">
        <v>273</v>
      </c>
      <c r="G111" s="2"/>
      <c r="H111" s="2"/>
      <c r="I111" s="2"/>
      <c r="J111" s="2"/>
      <c r="K111" s="2"/>
      <c r="L111" s="2"/>
      <c r="M111" s="2"/>
      <c r="N111" s="2"/>
      <c r="O111" s="2"/>
      <c r="P111" s="2"/>
    </row>
    <row r="112" spans="1:43" s="73" customFormat="1" x14ac:dyDescent="0.25">
      <c r="B112" s="8" t="s">
        <v>271</v>
      </c>
      <c r="C112" s="270">
        <v>3627.5799846890905</v>
      </c>
      <c r="D112" s="2" t="s">
        <v>397</v>
      </c>
      <c r="E112" s="8"/>
      <c r="F112" s="8" t="s">
        <v>274</v>
      </c>
      <c r="G112" s="2"/>
      <c r="H112" s="2"/>
      <c r="I112" s="2"/>
      <c r="J112" s="2"/>
      <c r="K112" s="2"/>
      <c r="L112" s="2"/>
      <c r="M112" s="2"/>
      <c r="N112" s="2"/>
      <c r="O112" s="2"/>
      <c r="P112" s="2"/>
    </row>
    <row r="113" spans="1:43" s="73" customFormat="1" x14ac:dyDescent="0.25">
      <c r="B113" s="8" t="s">
        <v>271</v>
      </c>
      <c r="C113" s="276">
        <f>C112</f>
        <v>3627.5799846890905</v>
      </c>
      <c r="D113" s="2" t="s">
        <v>397</v>
      </c>
      <c r="E113" s="8"/>
      <c r="F113" s="8" t="s">
        <v>274</v>
      </c>
      <c r="G113" s="2"/>
      <c r="H113" s="2"/>
      <c r="I113" s="2"/>
      <c r="J113" s="2"/>
      <c r="K113" s="2"/>
      <c r="L113" s="2"/>
      <c r="M113" s="2"/>
      <c r="N113" s="2"/>
      <c r="O113" s="2"/>
      <c r="P113" s="2"/>
    </row>
    <row r="114" spans="1:43" s="73" customFormat="1" x14ac:dyDescent="0.25">
      <c r="B114" s="34" t="s">
        <v>271</v>
      </c>
      <c r="C114" s="321">
        <f>C113</f>
        <v>3627.5799846890905</v>
      </c>
      <c r="D114" s="257" t="s">
        <v>397</v>
      </c>
      <c r="E114" s="34"/>
      <c r="F114" s="34" t="s">
        <v>274</v>
      </c>
      <c r="G114" s="257"/>
      <c r="H114" s="257"/>
      <c r="I114" s="257"/>
      <c r="J114" s="257"/>
      <c r="K114" s="257"/>
      <c r="L114" s="257"/>
      <c r="M114" s="257"/>
      <c r="N114" s="257"/>
      <c r="O114" s="257"/>
      <c r="P114" s="257"/>
    </row>
    <row r="115" spans="1:43" x14ac:dyDescent="0.25">
      <c r="A115"/>
      <c r="B115" s="83"/>
      <c r="C115" s="943"/>
      <c r="D115" s="2"/>
      <c r="E115" s="2"/>
      <c r="F115" s="2"/>
      <c r="G115" s="2"/>
      <c r="H115" s="2"/>
      <c r="I115" s="2"/>
      <c r="J115" s="2"/>
      <c r="K115" s="2"/>
      <c r="L115" s="2"/>
      <c r="M115" s="2"/>
      <c r="N115" s="2"/>
      <c r="O115" s="2"/>
      <c r="P115" s="2"/>
      <c r="U115"/>
      <c r="V115"/>
      <c r="W115"/>
      <c r="X115"/>
      <c r="Y115"/>
      <c r="Z115"/>
      <c r="AA115"/>
      <c r="AB115"/>
      <c r="AC115"/>
      <c r="AD115"/>
      <c r="AE115"/>
      <c r="AF115"/>
      <c r="AG115"/>
      <c r="AH115"/>
      <c r="AI115"/>
      <c r="AJ115"/>
      <c r="AK115"/>
      <c r="AL115"/>
      <c r="AN115"/>
      <c r="AO115"/>
      <c r="AP115"/>
      <c r="AQ115"/>
    </row>
    <row r="116" spans="1:43" x14ac:dyDescent="0.25">
      <c r="C116" s="176"/>
      <c r="M116"/>
      <c r="N116"/>
      <c r="R116" s="73"/>
      <c r="S116" s="73"/>
      <c r="T116" s="73"/>
      <c r="X116"/>
      <c r="Y116" s="70"/>
      <c r="Z116" s="70"/>
      <c r="AA116" s="70"/>
      <c r="AB116" s="70"/>
      <c r="AC116"/>
      <c r="AD116"/>
      <c r="AE116"/>
      <c r="AF116"/>
      <c r="AG116"/>
      <c r="AH116"/>
      <c r="AI116"/>
      <c r="AJ116"/>
      <c r="AK116"/>
      <c r="AL116"/>
      <c r="AN116"/>
      <c r="AO116"/>
      <c r="AP116"/>
      <c r="AQ116"/>
    </row>
    <row r="117" spans="1:43" x14ac:dyDescent="0.25">
      <c r="B117" t="s">
        <v>173</v>
      </c>
      <c r="C117" s="176">
        <f>0.511095779464703*1000</f>
        <v>511.09577946470296</v>
      </c>
      <c r="D117" s="73" t="s">
        <v>397</v>
      </c>
      <c r="F117" s="7" t="s">
        <v>223</v>
      </c>
      <c r="M117"/>
      <c r="N117"/>
      <c r="R117" s="73"/>
      <c r="S117" s="73"/>
      <c r="T117" s="73"/>
      <c r="X117"/>
      <c r="Y117" s="70"/>
      <c r="Z117" s="70"/>
      <c r="AA117" s="70"/>
      <c r="AB117" s="70"/>
      <c r="AC117"/>
      <c r="AD117"/>
      <c r="AE117"/>
      <c r="AF117"/>
      <c r="AG117"/>
      <c r="AH117"/>
      <c r="AI117"/>
      <c r="AJ117"/>
      <c r="AK117"/>
      <c r="AL117"/>
      <c r="AN117"/>
      <c r="AO117"/>
      <c r="AP117"/>
      <c r="AQ117"/>
    </row>
    <row r="118" spans="1:43" x14ac:dyDescent="0.25">
      <c r="B118" t="s">
        <v>172</v>
      </c>
      <c r="C118" s="176">
        <f>0.760153707286385*1000</f>
        <v>760.15370728638493</v>
      </c>
      <c r="D118" s="73" t="s">
        <v>397</v>
      </c>
      <c r="F118" s="73" t="s">
        <v>403</v>
      </c>
      <c r="J118"/>
      <c r="M118"/>
      <c r="N118"/>
      <c r="Q118" s="73"/>
      <c r="R118" s="73"/>
      <c r="S118" s="73"/>
      <c r="T118" s="73"/>
      <c r="X118"/>
      <c r="Y118" s="70"/>
      <c r="Z118" s="70"/>
      <c r="AA118" s="70"/>
      <c r="AB118" s="70"/>
      <c r="AC118"/>
      <c r="AD118"/>
      <c r="AE118"/>
      <c r="AF118"/>
      <c r="AG118"/>
      <c r="AH118"/>
      <c r="AI118"/>
      <c r="AJ118"/>
      <c r="AK118"/>
      <c r="AL118"/>
      <c r="AN118"/>
      <c r="AO118"/>
      <c r="AP118"/>
      <c r="AQ118"/>
    </row>
    <row r="119" spans="1:43" x14ac:dyDescent="0.25">
      <c r="B119" t="s">
        <v>174</v>
      </c>
      <c r="C119" s="176">
        <f>0.0722901562158378*1000</f>
        <v>72.290156215837797</v>
      </c>
      <c r="D119" s="73" t="s">
        <v>397</v>
      </c>
      <c r="F119" s="73" t="s">
        <v>330</v>
      </c>
      <c r="J119"/>
      <c r="L119" s="228"/>
      <c r="M119"/>
      <c r="N119"/>
      <c r="Q119" s="73"/>
      <c r="R119" s="73"/>
      <c r="S119" s="73"/>
      <c r="T119" s="73"/>
      <c r="X119"/>
      <c r="Y119" s="70"/>
      <c r="Z119" s="70"/>
      <c r="AA119" s="70"/>
      <c r="AB119" s="70"/>
      <c r="AC119"/>
      <c r="AD119"/>
      <c r="AE119"/>
      <c r="AF119"/>
      <c r="AG119"/>
      <c r="AH119"/>
      <c r="AI119"/>
      <c r="AJ119"/>
      <c r="AK119"/>
      <c r="AL119"/>
      <c r="AN119"/>
      <c r="AO119"/>
      <c r="AP119"/>
      <c r="AQ119"/>
    </row>
    <row r="120" spans="1:43" x14ac:dyDescent="0.25">
      <c r="B120" t="s">
        <v>175</v>
      </c>
      <c r="C120" s="176">
        <f>0.574982751897791*1000</f>
        <v>574.98275189779099</v>
      </c>
      <c r="D120" s="73" t="s">
        <v>397</v>
      </c>
      <c r="F120" s="73" t="s">
        <v>224</v>
      </c>
      <c r="J120"/>
      <c r="L120" s="228"/>
      <c r="M120"/>
      <c r="N120"/>
      <c r="Q120" s="73"/>
      <c r="R120" s="73"/>
      <c r="S120" s="73"/>
      <c r="T120" s="73"/>
      <c r="X120"/>
      <c r="Y120" s="70"/>
      <c r="Z120" s="70"/>
      <c r="AA120" s="70"/>
      <c r="AB120" s="70"/>
      <c r="AC120"/>
      <c r="AD120"/>
      <c r="AE120"/>
      <c r="AF120"/>
      <c r="AG120"/>
      <c r="AH120"/>
      <c r="AI120"/>
      <c r="AJ120"/>
      <c r="AK120"/>
      <c r="AL120"/>
      <c r="AN120"/>
      <c r="AO120"/>
      <c r="AP120"/>
      <c r="AQ120"/>
    </row>
    <row r="121" spans="1:43" ht="15.75" thickBot="1" x14ac:dyDescent="0.3">
      <c r="J121" s="7"/>
      <c r="K121" s="273"/>
      <c r="L121" s="226"/>
      <c r="M121" s="226"/>
      <c r="N121" s="226"/>
      <c r="O121" s="226"/>
      <c r="P121" s="226"/>
      <c r="Q121" s="73"/>
      <c r="R121" s="73"/>
      <c r="S121" s="73"/>
      <c r="T121" s="73"/>
      <c r="X121"/>
      <c r="Y121" s="70"/>
      <c r="Z121" s="70"/>
      <c r="AA121" s="70"/>
      <c r="AB121" s="70"/>
      <c r="AC121"/>
      <c r="AD121"/>
      <c r="AE121"/>
      <c r="AF121"/>
      <c r="AG121"/>
      <c r="AH121"/>
      <c r="AI121"/>
      <c r="AJ121"/>
      <c r="AK121"/>
      <c r="AL121"/>
      <c r="AN121"/>
      <c r="AO121"/>
      <c r="AP121"/>
      <c r="AQ121"/>
    </row>
    <row r="122" spans="1:43" ht="15.75" thickBot="1" x14ac:dyDescent="0.3">
      <c r="B122" s="260"/>
      <c r="C122" s="258"/>
      <c r="D122" s="189">
        <v>2010</v>
      </c>
      <c r="E122" s="258">
        <v>2020</v>
      </c>
      <c r="F122" s="258">
        <v>2030</v>
      </c>
      <c r="G122" s="258">
        <v>2040</v>
      </c>
      <c r="H122" s="259">
        <v>2050</v>
      </c>
      <c r="J122" s="7"/>
      <c r="K122" s="273"/>
      <c r="L122" s="226"/>
      <c r="M122" s="226"/>
      <c r="N122" s="226"/>
      <c r="O122" s="226"/>
      <c r="P122" s="226"/>
      <c r="Q122" s="73"/>
      <c r="R122" s="73"/>
      <c r="S122" s="73"/>
      <c r="T122" s="73"/>
      <c r="AI122"/>
      <c r="AJ122" s="70"/>
      <c r="AK122" s="70"/>
      <c r="AL122" s="70"/>
      <c r="AM122" s="70"/>
      <c r="AN122"/>
      <c r="AO122"/>
      <c r="AP122"/>
      <c r="AQ122"/>
    </row>
    <row r="123" spans="1:43" ht="16.5" thickBot="1" x14ac:dyDescent="0.3">
      <c r="B123" s="185" t="s">
        <v>176</v>
      </c>
      <c r="C123" s="258"/>
      <c r="D123" s="258"/>
      <c r="E123" s="258"/>
      <c r="F123" s="258"/>
      <c r="G123" s="258"/>
      <c r="H123" s="259"/>
      <c r="J123" s="273"/>
      <c r="K123" s="273"/>
      <c r="L123" s="226"/>
      <c r="M123" s="226"/>
      <c r="N123" s="226"/>
      <c r="O123" s="226"/>
      <c r="P123" s="226"/>
      <c r="Q123" s="73"/>
      <c r="R123" s="73"/>
      <c r="S123" s="73"/>
      <c r="T123" s="73"/>
      <c r="AI123"/>
      <c r="AJ123" s="70"/>
      <c r="AK123" s="70"/>
      <c r="AL123" s="70"/>
      <c r="AM123" s="70"/>
      <c r="AN123"/>
      <c r="AO123"/>
      <c r="AP123"/>
      <c r="AQ123"/>
    </row>
    <row r="124" spans="1:43" ht="15.75" x14ac:dyDescent="0.25">
      <c r="B124" s="182" t="s">
        <v>169</v>
      </c>
      <c r="C124" s="2"/>
      <c r="D124" s="2" t="s">
        <v>385</v>
      </c>
      <c r="E124" s="2" t="str">
        <f>D124</f>
        <v>MDKK/year</v>
      </c>
      <c r="F124" s="2" t="str">
        <f>E124</f>
        <v>MDKK/year</v>
      </c>
      <c r="G124" s="2" t="str">
        <f>F124</f>
        <v>MDKK/year</v>
      </c>
      <c r="H124" s="140" t="str">
        <f>G124</f>
        <v>MDKK/year</v>
      </c>
      <c r="J124" s="226"/>
      <c r="K124" s="273"/>
      <c r="L124" s="273"/>
      <c r="M124" s="226"/>
      <c r="N124" s="226"/>
      <c r="O124" s="226"/>
      <c r="P124" s="226"/>
      <c r="Q124" s="73"/>
      <c r="R124" s="73"/>
      <c r="S124" s="73"/>
      <c r="T124" s="73"/>
      <c r="AI124"/>
      <c r="AJ124" s="70"/>
      <c r="AK124" s="70"/>
      <c r="AL124" s="70"/>
      <c r="AM124" s="70"/>
      <c r="AN124"/>
      <c r="AO124"/>
      <c r="AP124"/>
      <c r="AQ124"/>
    </row>
    <row r="125" spans="1:43" ht="15.75" x14ac:dyDescent="0.25">
      <c r="B125" s="229" t="s">
        <v>260</v>
      </c>
      <c r="C125" s="2"/>
      <c r="D125" s="310">
        <f>C96</f>
        <v>8231.2568206799442</v>
      </c>
      <c r="E125" s="310">
        <f>(C96/C74*E74)</f>
        <v>10407.631957645242</v>
      </c>
      <c r="F125" s="310">
        <f>(C96/C74*G74)</f>
        <v>12904.73590275917</v>
      </c>
      <c r="G125" s="310">
        <f>(C96/C74*I74)</f>
        <v>14443.464394419942</v>
      </c>
      <c r="H125" s="311">
        <f>(C96/C74*K74)</f>
        <v>15982.192886080709</v>
      </c>
      <c r="I125" s="320"/>
      <c r="J125" s="323"/>
      <c r="K125" s="273"/>
      <c r="L125" s="226"/>
      <c r="M125" s="226"/>
      <c r="N125" s="226"/>
      <c r="O125" s="226"/>
      <c r="P125" s="226"/>
      <c r="Q125" s="73"/>
      <c r="R125" s="73"/>
      <c r="S125" s="73"/>
      <c r="T125" s="73"/>
      <c r="AI125"/>
      <c r="AJ125" s="70"/>
      <c r="AK125" s="70"/>
      <c r="AL125" s="70"/>
      <c r="AM125" s="70"/>
      <c r="AN125"/>
      <c r="AO125"/>
      <c r="AP125"/>
      <c r="AQ125"/>
    </row>
    <row r="126" spans="1:43" ht="15.75" x14ac:dyDescent="0.25">
      <c r="B126" s="229" t="s">
        <v>164</v>
      </c>
      <c r="C126" s="2"/>
      <c r="D126" s="310">
        <f>C97</f>
        <v>10221.096605338122</v>
      </c>
      <c r="E126" s="310">
        <f>C98*(F79*100)</f>
        <v>17330.174763023249</v>
      </c>
      <c r="F126" s="310">
        <f>C98*(H79*100)</f>
        <v>16600.101387134375</v>
      </c>
      <c r="G126" s="310">
        <f>C98*(J79*100)</f>
        <v>13813.231296317717</v>
      </c>
      <c r="H126" s="311">
        <f>C98*(L79*100)</f>
        <v>12211.846968746066</v>
      </c>
      <c r="I126"/>
      <c r="K126" s="226"/>
      <c r="M126" s="226"/>
      <c r="O126" s="226"/>
      <c r="Q126" s="73"/>
      <c r="R126" s="73"/>
      <c r="S126" s="73"/>
      <c r="T126" s="73"/>
      <c r="AI126"/>
      <c r="AJ126" s="70"/>
      <c r="AK126" s="70"/>
      <c r="AL126" s="70"/>
      <c r="AM126" s="70"/>
      <c r="AN126"/>
      <c r="AO126"/>
      <c r="AP126"/>
      <c r="AQ126"/>
    </row>
    <row r="127" spans="1:43" ht="15.75" x14ac:dyDescent="0.25">
      <c r="B127" s="256" t="s">
        <v>170</v>
      </c>
      <c r="C127" s="257"/>
      <c r="D127" s="312">
        <f>C107/2</f>
        <v>1008.6995188299512</v>
      </c>
      <c r="E127" s="312">
        <f>C108/2</f>
        <v>1813.7899923445452</v>
      </c>
      <c r="F127" s="312">
        <f>C109/2</f>
        <v>2473.2590455058676</v>
      </c>
      <c r="G127" s="312">
        <f>C110/2</f>
        <v>3132.7280986671904</v>
      </c>
      <c r="H127" s="313">
        <f>C111/2</f>
        <v>3792.1971518285122</v>
      </c>
      <c r="I127"/>
      <c r="J127" s="226"/>
      <c r="K127" s="226"/>
      <c r="L127" s="226"/>
      <c r="M127" s="226"/>
      <c r="N127" s="226"/>
      <c r="O127" s="226"/>
      <c r="P127" s="226"/>
      <c r="Q127" s="73"/>
      <c r="R127" s="73"/>
      <c r="S127" s="73"/>
      <c r="T127" s="73"/>
      <c r="AI127"/>
      <c r="AJ127" s="70"/>
      <c r="AK127" s="70"/>
      <c r="AL127" s="70"/>
      <c r="AM127" s="70"/>
      <c r="AN127"/>
      <c r="AO127"/>
      <c r="AP127"/>
      <c r="AQ127"/>
    </row>
    <row r="128" spans="1:43" ht="15.75" x14ac:dyDescent="0.25">
      <c r="B128" s="182" t="s">
        <v>76</v>
      </c>
      <c r="C128" s="2"/>
      <c r="D128" s="2" t="s">
        <v>385</v>
      </c>
      <c r="E128" s="2" t="str">
        <f>D128</f>
        <v>MDKK/year</v>
      </c>
      <c r="F128" s="2" t="str">
        <f>E128</f>
        <v>MDKK/year</v>
      </c>
      <c r="G128" s="2" t="str">
        <f>F128</f>
        <v>MDKK/year</v>
      </c>
      <c r="H128" s="140" t="str">
        <f>G128</f>
        <v>MDKK/year</v>
      </c>
      <c r="I128"/>
      <c r="J128" s="226"/>
      <c r="K128" s="226"/>
      <c r="L128" s="226"/>
      <c r="M128" s="226"/>
      <c r="N128" s="226"/>
      <c r="O128" s="226"/>
      <c r="P128" s="226"/>
      <c r="Q128" s="73"/>
      <c r="R128" s="73"/>
      <c r="S128" s="73"/>
      <c r="T128" s="73"/>
      <c r="AI128"/>
      <c r="AJ128" s="70"/>
      <c r="AK128" s="70"/>
      <c r="AL128" s="70"/>
      <c r="AM128" s="70"/>
      <c r="AN128"/>
      <c r="AO128"/>
      <c r="AP128"/>
      <c r="AQ128"/>
    </row>
    <row r="129" spans="1:43" ht="15.75" x14ac:dyDescent="0.25">
      <c r="B129" s="229" t="s">
        <v>283</v>
      </c>
      <c r="C129" s="2"/>
      <c r="D129" s="324">
        <f>C99</f>
        <v>2954.2873396446239</v>
      </c>
      <c r="E129" s="324">
        <f>(C99/C80*E80)</f>
        <v>3028.3769916521883</v>
      </c>
      <c r="F129" s="324">
        <f>(C99/C80*G80)</f>
        <v>3442.6199715409243</v>
      </c>
      <c r="G129" s="324">
        <f>(C99/C80*I80)</f>
        <v>3485.8654030614603</v>
      </c>
      <c r="H129" s="325">
        <f>(C99/C80*K80)</f>
        <v>3529.1108345819962</v>
      </c>
      <c r="I129"/>
      <c r="J129" s="226"/>
      <c r="K129" s="226"/>
      <c r="L129" s="226"/>
      <c r="M129" s="226"/>
      <c r="N129" s="226"/>
      <c r="O129" s="226"/>
      <c r="P129" s="226"/>
      <c r="Q129" s="73"/>
      <c r="R129" s="73"/>
      <c r="S129" s="73"/>
      <c r="T129" s="73"/>
      <c r="AI129"/>
      <c r="AJ129" s="70"/>
      <c r="AK129" s="70"/>
      <c r="AL129" s="70"/>
      <c r="AM129" s="70"/>
      <c r="AN129"/>
      <c r="AO129"/>
      <c r="AP129"/>
      <c r="AQ129"/>
    </row>
    <row r="130" spans="1:43" ht="15.75" x14ac:dyDescent="0.25">
      <c r="B130" s="229" t="s">
        <v>276</v>
      </c>
      <c r="C130" s="2"/>
      <c r="D130" s="324">
        <f>C101+C100</f>
        <v>2262.2370928942291</v>
      </c>
      <c r="E130" s="324">
        <f>C101*(F83*100)+D130</f>
        <v>2669.539610339988</v>
      </c>
      <c r="F130" s="324">
        <f>C101*(H83*100)+D130</f>
        <v>3523.2439092766735</v>
      </c>
      <c r="G130" s="324">
        <f>C101*(J83*100)+D130</f>
        <v>3170.5406729317074</v>
      </c>
      <c r="H130" s="325">
        <f>C101*(L83*100)+D130</f>
        <v>3238.4261367702438</v>
      </c>
      <c r="J130" s="226"/>
      <c r="K130" s="226"/>
      <c r="L130" s="226"/>
      <c r="M130" s="226"/>
      <c r="N130" s="226"/>
      <c r="O130" s="226"/>
      <c r="P130" s="226"/>
      <c r="Q130" s="73"/>
      <c r="R130" s="73"/>
      <c r="S130" s="73"/>
      <c r="T130" s="73"/>
      <c r="AI130"/>
      <c r="AJ130" s="70"/>
      <c r="AK130" s="70"/>
      <c r="AL130" s="70"/>
      <c r="AM130" s="70"/>
      <c r="AN130"/>
      <c r="AO130"/>
      <c r="AP130"/>
      <c r="AQ130"/>
    </row>
    <row r="131" spans="1:43" ht="15.75" x14ac:dyDescent="0.25">
      <c r="B131" s="229" t="str">
        <f>B102</f>
        <v>Rail up to European standard incl. Metro city-ring (minimum) and electrification</v>
      </c>
      <c r="C131" s="2"/>
      <c r="D131" s="324">
        <f>C102</f>
        <v>2398.3292341896299</v>
      </c>
      <c r="E131" s="324">
        <f>D131</f>
        <v>2398.3292341896299</v>
      </c>
      <c r="F131" s="324">
        <f>E131</f>
        <v>2398.3292341896299</v>
      </c>
      <c r="G131" s="324">
        <f>F131</f>
        <v>2398.3292341896299</v>
      </c>
      <c r="H131" s="325">
        <f>G131</f>
        <v>2398.3292341896299</v>
      </c>
      <c r="J131" s="226"/>
      <c r="K131" s="226"/>
      <c r="L131" s="226"/>
      <c r="M131" s="226"/>
      <c r="N131" s="226"/>
      <c r="O131" s="226"/>
      <c r="P131" s="226"/>
      <c r="Q131" s="73"/>
      <c r="R131" s="73"/>
      <c r="S131" s="73"/>
      <c r="T131" s="73"/>
      <c r="AI131"/>
      <c r="AJ131" s="70"/>
      <c r="AK131" s="70"/>
      <c r="AL131" s="70"/>
      <c r="AM131" s="70"/>
      <c r="AN131"/>
      <c r="AO131"/>
      <c r="AP131"/>
      <c r="AQ131"/>
    </row>
    <row r="132" spans="1:43" ht="16.5" thickBot="1" x14ac:dyDescent="0.3">
      <c r="B132" s="230" t="s">
        <v>171</v>
      </c>
      <c r="C132" s="254"/>
      <c r="D132" s="853">
        <f>D127</f>
        <v>1008.6995188299512</v>
      </c>
      <c r="E132" s="853">
        <f>E127</f>
        <v>1813.7899923445452</v>
      </c>
      <c r="F132" s="853">
        <f>F127</f>
        <v>2473.2590455058676</v>
      </c>
      <c r="G132" s="853">
        <f>G127</f>
        <v>3132.7280986671904</v>
      </c>
      <c r="H132" s="854">
        <f>H127</f>
        <v>3792.1971518285122</v>
      </c>
      <c r="J132" s="226"/>
      <c r="K132" s="226"/>
      <c r="L132" s="226"/>
      <c r="M132" s="226"/>
      <c r="N132" s="226"/>
      <c r="O132" s="226"/>
      <c r="P132" s="226"/>
      <c r="Q132" s="73"/>
      <c r="R132" s="73"/>
      <c r="S132" s="73"/>
      <c r="T132" s="73"/>
      <c r="AI132"/>
      <c r="AJ132" s="70"/>
      <c r="AK132" s="70"/>
      <c r="AL132" s="70"/>
      <c r="AM132" s="70"/>
      <c r="AN132"/>
      <c r="AO132"/>
      <c r="AP132"/>
      <c r="AQ132"/>
    </row>
    <row r="133" spans="1:43" ht="15.75" thickBot="1" x14ac:dyDescent="0.3">
      <c r="J133" s="226"/>
      <c r="K133" s="226"/>
      <c r="L133" s="226"/>
      <c r="M133" s="226"/>
      <c r="N133" s="226"/>
      <c r="O133" s="226"/>
      <c r="P133" s="226"/>
      <c r="Q133" s="73"/>
      <c r="R133" s="73"/>
      <c r="S133" s="73"/>
      <c r="T133" s="73"/>
      <c r="AI133"/>
      <c r="AJ133" s="70"/>
      <c r="AK133" s="70"/>
      <c r="AL133" s="70"/>
      <c r="AM133" s="70"/>
      <c r="AN133"/>
      <c r="AO133"/>
      <c r="AP133"/>
      <c r="AQ133"/>
    </row>
    <row r="134" spans="1:43" ht="15.75" thickBot="1" x14ac:dyDescent="0.3">
      <c r="C134" s="263" t="s">
        <v>179</v>
      </c>
      <c r="D134" s="264"/>
      <c r="E134" s="264"/>
      <c r="F134" s="264"/>
      <c r="G134" s="264"/>
      <c r="H134" s="265"/>
      <c r="J134" s="226"/>
      <c r="K134" s="226"/>
      <c r="L134" s="226"/>
      <c r="M134" s="226"/>
      <c r="N134" s="226"/>
      <c r="O134" s="226"/>
      <c r="P134" s="226"/>
      <c r="Q134" s="73"/>
      <c r="R134" s="73"/>
      <c r="S134" s="73"/>
      <c r="T134" s="73"/>
      <c r="AI134"/>
      <c r="AJ134" s="70"/>
      <c r="AK134" s="70"/>
      <c r="AL134" s="70"/>
      <c r="AM134" s="70"/>
      <c r="AN134"/>
      <c r="AO134"/>
      <c r="AP134"/>
      <c r="AQ134"/>
    </row>
    <row r="135" spans="1:43" ht="15.75" thickBot="1" x14ac:dyDescent="0.3">
      <c r="B135" s="1989" t="s">
        <v>211</v>
      </c>
      <c r="C135" s="260"/>
      <c r="D135" s="189">
        <v>2010</v>
      </c>
      <c r="E135" s="258">
        <v>2020</v>
      </c>
      <c r="F135" s="258">
        <v>2030</v>
      </c>
      <c r="G135" s="258">
        <v>2040</v>
      </c>
      <c r="H135" s="259">
        <v>2050</v>
      </c>
      <c r="J135" s="226"/>
      <c r="K135" s="226"/>
      <c r="L135" s="226"/>
      <c r="M135" s="226"/>
      <c r="N135" s="226"/>
      <c r="O135" s="226"/>
      <c r="P135" s="226"/>
      <c r="Q135" s="73"/>
      <c r="R135" s="73"/>
      <c r="S135" s="73"/>
      <c r="T135" s="73"/>
      <c r="AI135"/>
      <c r="AJ135" s="70"/>
      <c r="AK135" s="70"/>
      <c r="AL135" s="70"/>
      <c r="AM135" s="70"/>
      <c r="AN135"/>
      <c r="AO135"/>
      <c r="AP135"/>
      <c r="AQ135"/>
    </row>
    <row r="136" spans="1:43" x14ac:dyDescent="0.25">
      <c r="B136" s="1992"/>
      <c r="C136" s="261"/>
      <c r="D136" s="252" t="s">
        <v>385</v>
      </c>
      <c r="E136" s="252" t="str">
        <f>D136</f>
        <v>MDKK/year</v>
      </c>
      <c r="F136" s="252" t="str">
        <f>E136</f>
        <v>MDKK/year</v>
      </c>
      <c r="G136" s="252" t="str">
        <f>F136</f>
        <v>MDKK/year</v>
      </c>
      <c r="H136" s="253" t="str">
        <f>G136</f>
        <v>MDKK/year</v>
      </c>
      <c r="J136" s="226"/>
      <c r="K136" s="226"/>
      <c r="L136" s="226"/>
      <c r="M136" s="226"/>
      <c r="N136" s="226"/>
      <c r="O136" s="226"/>
      <c r="P136" s="226"/>
      <c r="Q136" s="73"/>
      <c r="R136" s="73"/>
      <c r="S136" s="73"/>
      <c r="T136" s="73"/>
      <c r="AI136"/>
      <c r="AJ136" s="70"/>
      <c r="AK136" s="70"/>
      <c r="AL136" s="70"/>
      <c r="AM136" s="70"/>
      <c r="AN136"/>
      <c r="AO136"/>
      <c r="AP136"/>
      <c r="AQ136"/>
    </row>
    <row r="137" spans="1:43" ht="15.75" thickBot="1" x14ac:dyDescent="0.3">
      <c r="B137" s="1993"/>
      <c r="C137" s="151" t="s">
        <v>374</v>
      </c>
      <c r="D137" s="270">
        <f>D125</f>
        <v>8231.2568206799442</v>
      </c>
      <c r="E137" s="270">
        <f>E125</f>
        <v>10407.631957645242</v>
      </c>
      <c r="F137" s="270">
        <f>F125</f>
        <v>12904.73590275917</v>
      </c>
      <c r="G137" s="270">
        <f>G125</f>
        <v>14443.464394419942</v>
      </c>
      <c r="H137" s="271">
        <f>H125</f>
        <v>15982.192886080709</v>
      </c>
      <c r="J137" s="226"/>
      <c r="K137" s="226"/>
      <c r="L137" s="226"/>
      <c r="M137" s="226"/>
      <c r="N137" s="226"/>
      <c r="O137" s="226"/>
      <c r="P137" s="226"/>
      <c r="Q137" s="73"/>
      <c r="R137" s="73"/>
      <c r="S137" s="73"/>
      <c r="T137" s="73"/>
      <c r="AI137"/>
      <c r="AJ137" s="70"/>
      <c r="AK137" s="70"/>
      <c r="AL137" s="70"/>
      <c r="AM137" s="70"/>
      <c r="AN137"/>
      <c r="AO137"/>
      <c r="AP137"/>
      <c r="AQ137"/>
    </row>
    <row r="138" spans="1:43" s="73" customFormat="1" x14ac:dyDescent="0.25">
      <c r="A138" s="8"/>
      <c r="B138" s="879"/>
      <c r="C138" s="151" t="s">
        <v>373</v>
      </c>
      <c r="D138" s="270">
        <f>D126+D127</f>
        <v>11229.796124168073</v>
      </c>
      <c r="E138" s="270">
        <f>E126+E127</f>
        <v>19143.964755367793</v>
      </c>
      <c r="F138" s="270">
        <f>F126+F127</f>
        <v>19073.360432640242</v>
      </c>
      <c r="G138" s="270">
        <f>G126+G127</f>
        <v>16945.959394984908</v>
      </c>
      <c r="H138" s="271">
        <f>H126+H127</f>
        <v>16004.044120574577</v>
      </c>
      <c r="J138" s="880"/>
      <c r="K138" s="880"/>
      <c r="L138" s="880"/>
      <c r="M138" s="880"/>
      <c r="N138" s="880"/>
      <c r="O138" s="880"/>
      <c r="P138" s="880"/>
      <c r="AJ138" s="880"/>
      <c r="AK138" s="880"/>
      <c r="AL138" s="880"/>
      <c r="AM138" s="880"/>
    </row>
    <row r="139" spans="1:43" s="73" customFormat="1" x14ac:dyDescent="0.25">
      <c r="A139" s="8"/>
      <c r="B139" s="879"/>
      <c r="C139" s="151" t="s">
        <v>375</v>
      </c>
      <c r="D139" s="270">
        <f>D129</f>
        <v>2954.2873396446239</v>
      </c>
      <c r="E139" s="270">
        <f>E129</f>
        <v>3028.3769916521883</v>
      </c>
      <c r="F139" s="270">
        <f>F129</f>
        <v>3442.6199715409243</v>
      </c>
      <c r="G139" s="270">
        <f>G129</f>
        <v>3485.8654030614603</v>
      </c>
      <c r="H139" s="271">
        <f>H129</f>
        <v>3529.1108345819962</v>
      </c>
      <c r="J139" s="880"/>
      <c r="K139" s="880"/>
      <c r="L139" s="880"/>
      <c r="M139" s="880"/>
      <c r="N139" s="880"/>
      <c r="O139" s="880"/>
      <c r="P139" s="880"/>
      <c r="AJ139" s="880"/>
      <c r="AK139" s="880"/>
      <c r="AL139" s="880"/>
      <c r="AM139" s="880"/>
    </row>
    <row r="140" spans="1:43" s="73" customFormat="1" x14ac:dyDescent="0.25">
      <c r="A140" s="8"/>
      <c r="B140" s="879"/>
      <c r="C140" s="151" t="s">
        <v>376</v>
      </c>
      <c r="D140" s="266">
        <f>D130+D131+D132</f>
        <v>5669.2658459138111</v>
      </c>
      <c r="E140" s="266">
        <f>E130+E131+E132</f>
        <v>6881.6588368741632</v>
      </c>
      <c r="F140" s="266">
        <f>F130+F131+F132</f>
        <v>8394.8321889721701</v>
      </c>
      <c r="G140" s="266">
        <f>G130+G131+G132</f>
        <v>8701.5980057885281</v>
      </c>
      <c r="H140" s="267">
        <f>H130+H131+H132</f>
        <v>9428.952522788386</v>
      </c>
      <c r="J140" s="878"/>
      <c r="K140" s="878"/>
      <c r="L140" s="878"/>
      <c r="M140" s="878"/>
      <c r="N140" s="878"/>
      <c r="O140" s="884"/>
      <c r="P140" s="878"/>
      <c r="AJ140" s="878"/>
      <c r="AK140" s="878"/>
      <c r="AL140" s="878"/>
      <c r="AM140" s="878"/>
    </row>
    <row r="141" spans="1:43" s="73" customFormat="1" ht="15.75" thickBot="1" x14ac:dyDescent="0.3">
      <c r="A141" s="8"/>
      <c r="B141" s="879"/>
      <c r="C141" s="262" t="s">
        <v>0</v>
      </c>
      <c r="D141" s="268">
        <f>SUM(D125:D132)</f>
        <v>28084.606130406453</v>
      </c>
      <c r="E141" s="268">
        <f>SUM(E125:E132)</f>
        <v>39461.632541539388</v>
      </c>
      <c r="F141" s="268">
        <f>SUM(F125:F132)</f>
        <v>43815.54849591251</v>
      </c>
      <c r="G141" s="268">
        <f>SUM(G125:G132)</f>
        <v>43576.887198254837</v>
      </c>
      <c r="H141" s="269">
        <f>SUM(H125:H132)</f>
        <v>44944.300364025672</v>
      </c>
      <c r="J141" s="878"/>
      <c r="K141" s="878"/>
      <c r="L141" s="878"/>
      <c r="M141" s="878"/>
      <c r="N141" s="878"/>
      <c r="O141" s="878"/>
      <c r="P141" s="878"/>
      <c r="AJ141" s="878"/>
      <c r="AK141" s="878"/>
      <c r="AL141" s="878"/>
      <c r="AM141" s="878"/>
    </row>
    <row r="142" spans="1:43" x14ac:dyDescent="0.25">
      <c r="J142" s="226"/>
      <c r="K142" s="226"/>
      <c r="L142" s="226"/>
      <c r="M142" s="226"/>
      <c r="N142" s="226"/>
      <c r="O142" s="226"/>
      <c r="P142" s="226"/>
      <c r="Q142" s="73"/>
      <c r="R142" s="73"/>
      <c r="S142" s="73"/>
      <c r="T142" s="73"/>
      <c r="AI142"/>
      <c r="AJ142" s="70"/>
      <c r="AK142" s="70"/>
      <c r="AL142" s="70"/>
      <c r="AM142" s="70"/>
      <c r="AN142"/>
      <c r="AO142"/>
      <c r="AP142"/>
      <c r="AQ142"/>
    </row>
    <row r="143" spans="1:43" ht="15.75" thickBot="1" x14ac:dyDescent="0.3">
      <c r="J143" s="226"/>
      <c r="K143" s="226"/>
      <c r="L143" s="226"/>
      <c r="M143" s="226"/>
      <c r="N143" s="226"/>
      <c r="O143" s="226"/>
      <c r="P143" s="226"/>
      <c r="Q143" s="73"/>
      <c r="R143" s="73"/>
      <c r="S143" s="73"/>
      <c r="T143" s="73"/>
      <c r="AI143"/>
      <c r="AJ143" s="70"/>
      <c r="AK143" s="70"/>
      <c r="AL143" s="70"/>
      <c r="AM143" s="70"/>
      <c r="AN143"/>
      <c r="AO143"/>
      <c r="AP143"/>
      <c r="AQ143"/>
    </row>
    <row r="144" spans="1:43" ht="15.75" thickBot="1" x14ac:dyDescent="0.3">
      <c r="B144" s="260"/>
      <c r="C144" s="258"/>
      <c r="D144" s="189">
        <v>2010</v>
      </c>
      <c r="E144" s="258">
        <v>2020</v>
      </c>
      <c r="F144" s="258">
        <v>2030</v>
      </c>
      <c r="G144" s="258">
        <v>2040</v>
      </c>
      <c r="H144" s="259">
        <v>2050</v>
      </c>
      <c r="J144" s="226"/>
      <c r="K144" s="226"/>
      <c r="L144" s="226"/>
      <c r="M144" s="226"/>
      <c r="N144" s="226"/>
      <c r="O144" s="226"/>
      <c r="P144" s="226"/>
      <c r="Q144" s="73"/>
      <c r="R144" s="73"/>
      <c r="S144" s="73"/>
      <c r="T144" s="73"/>
      <c r="AI144"/>
      <c r="AJ144" s="70"/>
      <c r="AK144" s="70"/>
      <c r="AL144" s="70"/>
      <c r="AM144" s="70"/>
      <c r="AN144"/>
      <c r="AO144"/>
      <c r="AP144"/>
      <c r="AQ144"/>
    </row>
    <row r="145" spans="1:43" ht="16.5" thickBot="1" x14ac:dyDescent="0.3">
      <c r="B145" s="185" t="s">
        <v>210</v>
      </c>
      <c r="C145" s="258"/>
      <c r="D145" s="258"/>
      <c r="E145" s="258"/>
      <c r="F145" s="258"/>
      <c r="G145" s="258"/>
      <c r="H145" s="259"/>
      <c r="J145" s="226"/>
      <c r="K145" s="226"/>
      <c r="L145" s="226"/>
      <c r="M145" s="226"/>
      <c r="N145" s="226"/>
      <c r="O145" s="226"/>
      <c r="P145" s="226"/>
      <c r="Q145" s="73"/>
      <c r="R145" s="73"/>
      <c r="S145" s="73"/>
      <c r="T145" s="73"/>
      <c r="AI145"/>
      <c r="AJ145" s="70"/>
      <c r="AK145" s="70"/>
      <c r="AL145" s="70"/>
      <c r="AM145" s="70"/>
      <c r="AN145"/>
      <c r="AO145"/>
      <c r="AP145"/>
      <c r="AQ145"/>
    </row>
    <row r="146" spans="1:43" ht="15.75" x14ac:dyDescent="0.25">
      <c r="B146" s="183" t="s">
        <v>169</v>
      </c>
      <c r="C146" s="252"/>
      <c r="D146" s="252" t="s">
        <v>385</v>
      </c>
      <c r="E146" s="252" t="str">
        <f>D146</f>
        <v>MDKK/year</v>
      </c>
      <c r="F146" s="252" t="str">
        <f>E146</f>
        <v>MDKK/year</v>
      </c>
      <c r="G146" s="252" t="str">
        <f>F146</f>
        <v>MDKK/year</v>
      </c>
      <c r="H146" s="253" t="str">
        <f>G146</f>
        <v>MDKK/year</v>
      </c>
      <c r="J146" s="226"/>
      <c r="K146" s="226"/>
      <c r="L146" s="226"/>
      <c r="M146" s="226"/>
      <c r="N146" s="226"/>
      <c r="O146" s="226"/>
      <c r="P146" s="226"/>
      <c r="Q146" s="73"/>
      <c r="R146" s="73"/>
      <c r="S146" s="73"/>
      <c r="T146" s="73"/>
      <c r="AI146"/>
      <c r="AJ146" s="70"/>
      <c r="AK146" s="70"/>
      <c r="AL146" s="70"/>
      <c r="AM146" s="70"/>
      <c r="AN146"/>
      <c r="AO146"/>
      <c r="AP146"/>
      <c r="AQ146"/>
    </row>
    <row r="147" spans="1:43" ht="15.75" x14ac:dyDescent="0.25">
      <c r="A147"/>
      <c r="B147" s="229" t="str">
        <f>B96</f>
        <v>Operation and maintenance</v>
      </c>
      <c r="C147" s="2"/>
      <c r="D147" s="310">
        <f>C96</f>
        <v>8231.2568206799442</v>
      </c>
      <c r="E147" s="310">
        <f>F74/I96*($C$96/$C$74)+$D$125</f>
        <v>10407.631957645241</v>
      </c>
      <c r="F147" s="310">
        <f>H74/I96*($C$96/$C$74)+$E$125</f>
        <v>12904.735902759172</v>
      </c>
      <c r="G147" s="310">
        <f>J74/I96*($C$96/$C$74)+$F$125</f>
        <v>14443.46439441994</v>
      </c>
      <c r="H147" s="311">
        <f>L74/I96*($C$96/$C$74)+$G$125</f>
        <v>15982.192886080711</v>
      </c>
      <c r="J147" s="226"/>
      <c r="K147" s="226"/>
      <c r="L147" s="226"/>
      <c r="M147" s="226"/>
      <c r="N147" s="226"/>
      <c r="O147" s="226"/>
      <c r="P147" s="226"/>
      <c r="Q147" s="73"/>
      <c r="R147" s="73"/>
      <c r="S147" s="73"/>
      <c r="T147" s="73"/>
      <c r="V147"/>
      <c r="W147"/>
      <c r="X147"/>
      <c r="Y147"/>
      <c r="Z147"/>
      <c r="AA147"/>
      <c r="AB147"/>
      <c r="AC147"/>
      <c r="AD147"/>
      <c r="AE147"/>
      <c r="AF147"/>
      <c r="AG147"/>
      <c r="AH147"/>
      <c r="AI147"/>
      <c r="AJ147"/>
      <c r="AK147"/>
      <c r="AL147"/>
      <c r="AN147"/>
      <c r="AO147"/>
      <c r="AP147"/>
      <c r="AQ147"/>
    </row>
    <row r="148" spans="1:43" ht="15.75" x14ac:dyDescent="0.25">
      <c r="B148" s="229" t="str">
        <f>B97</f>
        <v>New roads 2010 (1,4% growth)</v>
      </c>
      <c r="C148" s="2"/>
      <c r="D148" s="310">
        <f>C97</f>
        <v>10221.096605338122</v>
      </c>
      <c r="E148" s="310">
        <f>C98*(F79*100)</f>
        <v>17330.174763023249</v>
      </c>
      <c r="F148" s="310">
        <f>C98*(H79*100)</f>
        <v>16600.101387134375</v>
      </c>
      <c r="G148" s="310">
        <f>C98*(J79*100)</f>
        <v>13813.231296317717</v>
      </c>
      <c r="H148" s="311">
        <f>C98*(L79*100)</f>
        <v>12211.846968746066</v>
      </c>
      <c r="J148" s="226"/>
      <c r="K148" s="226"/>
      <c r="L148" s="226"/>
      <c r="M148" s="226"/>
      <c r="N148" s="226"/>
      <c r="O148" s="226"/>
      <c r="P148" s="226"/>
      <c r="Q148" s="73"/>
      <c r="R148" s="73"/>
      <c r="S148" s="73"/>
      <c r="T148" s="73"/>
      <c r="AI148"/>
      <c r="AJ148" s="70"/>
      <c r="AK148" s="70"/>
      <c r="AL148" s="70"/>
      <c r="AM148" s="70"/>
      <c r="AN148"/>
      <c r="AO148"/>
      <c r="AP148"/>
      <c r="AQ148"/>
    </row>
    <row r="149" spans="1:43" ht="16.5" thickBot="1" x14ac:dyDescent="0.3">
      <c r="B149" s="230" t="s">
        <v>171</v>
      </c>
      <c r="C149" s="257"/>
      <c r="D149" s="312">
        <f>C107/2</f>
        <v>1008.6995188299512</v>
      </c>
      <c r="E149" s="312">
        <f>C108/2</f>
        <v>1813.7899923445452</v>
      </c>
      <c r="F149" s="312">
        <f>C112/2</f>
        <v>1813.7899923445452</v>
      </c>
      <c r="G149" s="312">
        <f>C113/2</f>
        <v>1813.7899923445452</v>
      </c>
      <c r="H149" s="313">
        <f>C114/2</f>
        <v>1813.7899923445452</v>
      </c>
      <c r="J149" s="226"/>
      <c r="K149" s="226"/>
      <c r="L149" s="226"/>
      <c r="M149" s="226"/>
      <c r="N149" s="226"/>
      <c r="O149" s="226"/>
      <c r="P149" s="226"/>
      <c r="Q149" s="73"/>
      <c r="R149" s="73"/>
      <c r="S149" s="73"/>
      <c r="T149" s="73"/>
      <c r="AI149"/>
      <c r="AJ149" s="70"/>
      <c r="AK149" s="70"/>
      <c r="AL149" s="70"/>
      <c r="AM149" s="70"/>
      <c r="AN149"/>
      <c r="AO149"/>
      <c r="AP149"/>
      <c r="AQ149"/>
    </row>
    <row r="150" spans="1:43" ht="15.75" x14ac:dyDescent="0.25">
      <c r="B150" s="182" t="s">
        <v>76</v>
      </c>
      <c r="C150" s="2"/>
      <c r="D150" s="266"/>
      <c r="E150" s="266"/>
      <c r="F150" s="266"/>
      <c r="G150" s="266"/>
      <c r="H150" s="267"/>
      <c r="J150" s="226"/>
      <c r="K150" s="226"/>
      <c r="L150" s="226"/>
      <c r="M150" s="226"/>
      <c r="N150" s="226"/>
      <c r="O150" s="226"/>
      <c r="P150" s="226"/>
      <c r="Q150" s="73"/>
      <c r="R150" s="73"/>
      <c r="S150" s="73"/>
      <c r="T150" s="73"/>
      <c r="AI150"/>
      <c r="AJ150" s="70"/>
      <c r="AK150" s="70"/>
      <c r="AL150" s="70"/>
      <c r="AM150" s="70"/>
      <c r="AN150"/>
      <c r="AO150"/>
      <c r="AP150"/>
      <c r="AQ150"/>
    </row>
    <row r="151" spans="1:43" ht="15.75" x14ac:dyDescent="0.25">
      <c r="B151" s="229" t="str">
        <f>B99</f>
        <v>Rail maintenance</v>
      </c>
      <c r="C151" s="2"/>
      <c r="D151" s="276">
        <f>C99</f>
        <v>2954.2873396446239</v>
      </c>
      <c r="E151" s="276">
        <f>(C99/C80*E80)</f>
        <v>3028.3769916521883</v>
      </c>
      <c r="F151" s="276">
        <f>(C99/C80*G80)</f>
        <v>3442.6199715409243</v>
      </c>
      <c r="G151" s="276">
        <f>(C99/C80*I80)</f>
        <v>3485.8654030614603</v>
      </c>
      <c r="H151" s="277">
        <f>(C99/C80*K80)</f>
        <v>3529.1108345819962</v>
      </c>
      <c r="J151" s="226"/>
      <c r="K151" s="226"/>
      <c r="L151" s="226"/>
      <c r="M151" s="226"/>
      <c r="N151" s="226"/>
      <c r="O151" s="226"/>
      <c r="P151" s="226"/>
      <c r="U151"/>
      <c r="AI151"/>
      <c r="AJ151" s="70"/>
      <c r="AK151" s="70"/>
      <c r="AL151" s="70"/>
      <c r="AM151" s="70"/>
      <c r="AN151"/>
      <c r="AO151"/>
      <c r="AP151"/>
      <c r="AQ151"/>
    </row>
    <row r="152" spans="1:43" ht="15.75" x14ac:dyDescent="0.25">
      <c r="B152" s="229" t="str">
        <f>B101</f>
        <v>Rail new constructions (low growth)</v>
      </c>
      <c r="C152" s="2"/>
      <c r="D152" s="276">
        <f>D130</f>
        <v>2262.2370928942291</v>
      </c>
      <c r="E152" s="276">
        <f>D152</f>
        <v>2262.2370928942291</v>
      </c>
      <c r="F152" s="276">
        <f>E152</f>
        <v>2262.2370928942291</v>
      </c>
      <c r="G152" s="276">
        <f>F152</f>
        <v>2262.2370928942291</v>
      </c>
      <c r="H152" s="277">
        <f>G152</f>
        <v>2262.2370928942291</v>
      </c>
      <c r="J152" s="226"/>
      <c r="K152" s="226"/>
      <c r="L152" s="226"/>
      <c r="M152" s="226"/>
      <c r="N152" s="226"/>
      <c r="O152" s="226"/>
      <c r="P152" s="226"/>
      <c r="Q152" s="73"/>
      <c r="R152" s="73"/>
      <c r="S152" s="73"/>
      <c r="T152" s="73"/>
      <c r="AI152"/>
      <c r="AJ152" s="70"/>
      <c r="AK152" s="70"/>
      <c r="AL152" s="70"/>
      <c r="AM152" s="70"/>
      <c r="AN152"/>
      <c r="AO152"/>
      <c r="AP152"/>
      <c r="AQ152"/>
    </row>
    <row r="153" spans="1:43" ht="15.75" x14ac:dyDescent="0.25">
      <c r="B153" s="229" t="str">
        <f>B102</f>
        <v>Rail up to European standard incl. Metro city-ring (minimum) and electrification</v>
      </c>
      <c r="C153" s="2"/>
      <c r="D153" s="276">
        <f>D131</f>
        <v>2398.3292341896299</v>
      </c>
      <c r="E153" s="276">
        <f>E131</f>
        <v>2398.3292341896299</v>
      </c>
      <c r="F153" s="276">
        <f>F131</f>
        <v>2398.3292341896299</v>
      </c>
      <c r="G153" s="276">
        <f>G131</f>
        <v>2398.3292341896299</v>
      </c>
      <c r="H153" s="277">
        <f>H131</f>
        <v>2398.3292341896299</v>
      </c>
      <c r="J153" s="226"/>
      <c r="K153" s="226"/>
      <c r="L153" s="226"/>
      <c r="M153" s="226"/>
      <c r="N153" s="226"/>
      <c r="O153" s="226"/>
      <c r="P153" s="226"/>
      <c r="Q153" s="73"/>
      <c r="R153" s="73"/>
      <c r="S153" s="73"/>
      <c r="T153" s="73"/>
      <c r="AI153"/>
      <c r="AJ153" s="70"/>
      <c r="AK153" s="70"/>
      <c r="AL153" s="70"/>
      <c r="AM153" s="70"/>
      <c r="AN153"/>
      <c r="AO153"/>
      <c r="AP153"/>
      <c r="AQ153"/>
    </row>
    <row r="154" spans="1:43" ht="15.75" x14ac:dyDescent="0.25">
      <c r="B154" s="229" t="str">
        <f>B103</f>
        <v>Rail upgrade 2020 (high growth)</v>
      </c>
      <c r="C154" s="2"/>
      <c r="D154" s="276"/>
      <c r="E154" s="276">
        <f>C103</f>
        <v>3911.0818043793502</v>
      </c>
      <c r="F154" s="276"/>
      <c r="G154" s="276"/>
      <c r="H154" s="277"/>
      <c r="J154" s="226"/>
      <c r="K154" s="226"/>
      <c r="L154" s="226"/>
      <c r="M154" s="226"/>
      <c r="N154" s="226"/>
      <c r="O154" s="226"/>
      <c r="P154" s="226"/>
      <c r="Q154" s="73"/>
      <c r="R154" s="73"/>
      <c r="S154" s="73"/>
      <c r="T154" s="73"/>
      <c r="AI154"/>
      <c r="AJ154" s="70"/>
      <c r="AK154" s="70"/>
      <c r="AL154" s="70"/>
      <c r="AM154" s="70"/>
      <c r="AN154"/>
      <c r="AO154"/>
      <c r="AP154"/>
      <c r="AQ154"/>
    </row>
    <row r="155" spans="1:43" ht="15.75" x14ac:dyDescent="0.25">
      <c r="B155" s="229" t="str">
        <f>B104</f>
        <v>Rail upgrade 2030 (high growth)</v>
      </c>
      <c r="C155" s="2"/>
      <c r="D155" s="276"/>
      <c r="E155" s="276"/>
      <c r="F155" s="276">
        <f>C104</f>
        <v>5912.1153591720404</v>
      </c>
      <c r="G155" s="276"/>
      <c r="H155" s="277"/>
      <c r="J155" s="226"/>
      <c r="K155" s="226"/>
      <c r="L155" s="226"/>
      <c r="M155" s="226"/>
      <c r="N155" s="226"/>
      <c r="O155" s="226"/>
      <c r="P155" s="226"/>
      <c r="Q155" s="73"/>
      <c r="R155" s="73"/>
      <c r="S155" s="73"/>
      <c r="T155" s="73"/>
      <c r="AI155"/>
      <c r="AJ155" s="70"/>
      <c r="AK155" s="70"/>
      <c r="AL155" s="70"/>
      <c r="AM155" s="70"/>
      <c r="AN155"/>
      <c r="AO155"/>
      <c r="AP155"/>
      <c r="AQ155"/>
    </row>
    <row r="156" spans="1:43" ht="15.75" x14ac:dyDescent="0.25">
      <c r="B156" s="229" t="s">
        <v>177</v>
      </c>
      <c r="C156" s="2"/>
      <c r="D156" s="276"/>
      <c r="E156" s="276"/>
      <c r="F156" s="276"/>
      <c r="G156" s="276">
        <f>C105</f>
        <v>5955.6922268579001</v>
      </c>
      <c r="H156" s="277">
        <f>C106</f>
        <v>5999.2690945437607</v>
      </c>
      <c r="J156" s="226"/>
      <c r="K156" s="226"/>
      <c r="L156" s="226"/>
      <c r="M156" s="226"/>
      <c r="N156" s="226"/>
      <c r="O156" s="226"/>
      <c r="P156" s="226"/>
      <c r="Q156" s="73"/>
      <c r="R156" s="73"/>
      <c r="S156" s="73"/>
      <c r="T156" s="73"/>
      <c r="AI156"/>
      <c r="AJ156" s="70"/>
      <c r="AK156" s="70"/>
      <c r="AL156" s="70"/>
      <c r="AM156" s="70"/>
      <c r="AN156"/>
      <c r="AO156"/>
      <c r="AP156"/>
      <c r="AQ156"/>
    </row>
    <row r="157" spans="1:43" ht="15.75" x14ac:dyDescent="0.25">
      <c r="B157" s="229" t="s">
        <v>222</v>
      </c>
      <c r="C157" s="2"/>
      <c r="D157" s="276">
        <f>D149</f>
        <v>1008.6995188299512</v>
      </c>
      <c r="E157" s="276">
        <f>E149</f>
        <v>1813.7899923445452</v>
      </c>
      <c r="F157" s="276">
        <f>F132</f>
        <v>2473.2590455058676</v>
      </c>
      <c r="G157" s="276">
        <f>G132</f>
        <v>3132.7280986671904</v>
      </c>
      <c r="H157" s="277">
        <f>H132</f>
        <v>3792.1971518285122</v>
      </c>
      <c r="J157" s="226"/>
      <c r="K157" s="226"/>
      <c r="L157" s="226"/>
      <c r="M157" s="226"/>
      <c r="N157" s="226"/>
      <c r="O157" s="226"/>
      <c r="P157" s="226"/>
      <c r="Q157" s="73"/>
      <c r="R157" s="73"/>
      <c r="S157" s="73"/>
      <c r="T157" s="73"/>
      <c r="AI157"/>
      <c r="AJ157" s="70"/>
      <c r="AK157" s="70"/>
      <c r="AL157" s="70"/>
      <c r="AM157" s="70"/>
      <c r="AN157"/>
      <c r="AO157"/>
      <c r="AP157"/>
      <c r="AQ157"/>
    </row>
    <row r="158" spans="1:43" ht="15.75" x14ac:dyDescent="0.25">
      <c r="B158" s="229" t="str">
        <f>B117</f>
        <v>ITS (Road)</v>
      </c>
      <c r="C158" s="2"/>
      <c r="D158" s="276"/>
      <c r="E158" s="276">
        <f>C117</f>
        <v>511.09577946470296</v>
      </c>
      <c r="F158" s="276">
        <f>E158</f>
        <v>511.09577946470296</v>
      </c>
      <c r="G158" s="276">
        <f>F158</f>
        <v>511.09577946470296</v>
      </c>
      <c r="H158" s="277">
        <f>G158</f>
        <v>511.09577946470296</v>
      </c>
      <c r="J158" s="226"/>
      <c r="K158" s="226"/>
      <c r="L158" s="226"/>
      <c r="M158" s="226"/>
      <c r="N158" s="226"/>
      <c r="O158" s="226"/>
      <c r="P158" s="226"/>
      <c r="Q158" s="73"/>
      <c r="R158" s="73"/>
      <c r="S158" s="73"/>
      <c r="T158" s="73"/>
      <c r="AI158"/>
      <c r="AJ158" s="70"/>
      <c r="AK158" s="70"/>
      <c r="AL158" s="70"/>
      <c r="AM158" s="70"/>
      <c r="AN158"/>
      <c r="AO158"/>
      <c r="AP158"/>
      <c r="AQ158"/>
    </row>
    <row r="159" spans="1:43" ht="15.75" x14ac:dyDescent="0.25">
      <c r="B159" s="229" t="str">
        <f>B118</f>
        <v>Bicycling</v>
      </c>
      <c r="C159" s="2"/>
      <c r="D159" s="276"/>
      <c r="E159" s="276">
        <f>C118/1600*F85</f>
        <v>-0.1543265193596001</v>
      </c>
      <c r="F159" s="276">
        <f>C118/1600*(F85+H85)</f>
        <v>-0.1543265193596001</v>
      </c>
      <c r="G159" s="276">
        <f>C118/1600*(F85+H85+J85)</f>
        <v>-0.1543265193596001</v>
      </c>
      <c r="H159" s="277">
        <f>C118/1600*(F85+H85+L85)</f>
        <v>-0.1543265193596001</v>
      </c>
      <c r="J159" s="226"/>
      <c r="K159" s="226"/>
      <c r="L159" s="226"/>
      <c r="M159" s="226"/>
      <c r="N159" s="226"/>
      <c r="O159" s="226"/>
      <c r="P159" s="226"/>
      <c r="Q159" s="73"/>
      <c r="R159" s="73"/>
      <c r="S159" s="73"/>
      <c r="T159" s="73"/>
      <c r="AI159"/>
      <c r="AJ159" s="70"/>
      <c r="AK159" s="70"/>
      <c r="AL159" s="70"/>
      <c r="AM159" s="70"/>
      <c r="AN159"/>
      <c r="AO159"/>
      <c r="AP159"/>
      <c r="AQ159"/>
    </row>
    <row r="160" spans="1:43" ht="15.75" x14ac:dyDescent="0.25">
      <c r="B160" s="229" t="str">
        <f>B119</f>
        <v>Bus and access to station</v>
      </c>
      <c r="C160" s="2"/>
      <c r="D160" s="276"/>
      <c r="E160" s="276">
        <f>C119</f>
        <v>72.290156215837797</v>
      </c>
      <c r="F160" s="276">
        <f t="shared" ref="F160:H161" si="60">E160</f>
        <v>72.290156215837797</v>
      </c>
      <c r="G160" s="276">
        <f t="shared" si="60"/>
        <v>72.290156215837797</v>
      </c>
      <c r="H160" s="277">
        <f t="shared" si="60"/>
        <v>72.290156215837797</v>
      </c>
      <c r="J160" s="226"/>
      <c r="K160" s="226"/>
      <c r="L160" s="226"/>
      <c r="M160" s="226"/>
      <c r="N160" s="226"/>
      <c r="O160" s="226"/>
      <c r="P160" s="226"/>
      <c r="Q160" s="73"/>
      <c r="R160" s="73"/>
      <c r="S160" s="73"/>
      <c r="T160" s="73"/>
      <c r="AI160"/>
      <c r="AJ160" s="70"/>
      <c r="AK160" s="70"/>
      <c r="AL160" s="70"/>
      <c r="AM160" s="70"/>
      <c r="AN160"/>
      <c r="AO160"/>
      <c r="AP160"/>
      <c r="AQ160"/>
    </row>
    <row r="161" spans="1:43" ht="16.5" thickBot="1" x14ac:dyDescent="0.3">
      <c r="B161" s="230" t="str">
        <f>B120</f>
        <v>Education and research</v>
      </c>
      <c r="C161" s="254"/>
      <c r="D161" s="855"/>
      <c r="E161" s="855">
        <f>C120</f>
        <v>574.98275189779099</v>
      </c>
      <c r="F161" s="855">
        <f t="shared" si="60"/>
        <v>574.98275189779099</v>
      </c>
      <c r="G161" s="855">
        <f t="shared" si="60"/>
        <v>574.98275189779099</v>
      </c>
      <c r="H161" s="856">
        <f t="shared" si="60"/>
        <v>574.98275189779099</v>
      </c>
      <c r="J161" s="226"/>
      <c r="K161" s="226"/>
      <c r="L161" s="226"/>
      <c r="M161" s="226"/>
      <c r="N161" s="226"/>
      <c r="O161" s="226"/>
      <c r="P161" s="226"/>
      <c r="Q161" s="73"/>
      <c r="R161" s="73"/>
      <c r="S161" s="73"/>
      <c r="T161" s="73"/>
      <c r="AI161"/>
      <c r="AJ161" s="70"/>
      <c r="AK161" s="70"/>
      <c r="AL161" s="70"/>
      <c r="AM161" s="70"/>
      <c r="AN161"/>
      <c r="AO161"/>
      <c r="AP161"/>
      <c r="AQ161"/>
    </row>
    <row r="162" spans="1:43" s="73" customFormat="1" ht="15.75" thickBot="1" x14ac:dyDescent="0.3">
      <c r="A162" s="8"/>
      <c r="B162" s="226"/>
      <c r="C162" s="254"/>
      <c r="D162" s="254"/>
      <c r="E162" s="158"/>
      <c r="F162" s="158"/>
      <c r="G162" s="158"/>
      <c r="H162" s="255"/>
      <c r="J162" s="226"/>
      <c r="K162" s="226"/>
      <c r="L162" s="226"/>
      <c r="M162" s="226"/>
      <c r="N162" s="226"/>
      <c r="O162" s="226"/>
      <c r="P162" s="226"/>
      <c r="AJ162" s="226"/>
      <c r="AK162" s="226"/>
      <c r="AL162" s="226"/>
      <c r="AM162" s="226"/>
    </row>
    <row r="163" spans="1:43" ht="15.75" thickBot="1" x14ac:dyDescent="0.3">
      <c r="C163" s="263" t="s">
        <v>179</v>
      </c>
      <c r="D163" s="264"/>
      <c r="E163" s="264"/>
      <c r="F163" s="264"/>
      <c r="G163" s="264"/>
      <c r="H163" s="265"/>
      <c r="J163" s="226"/>
      <c r="K163" s="226"/>
      <c r="L163" s="226"/>
      <c r="M163" s="226"/>
      <c r="N163" s="226"/>
      <c r="O163" s="226"/>
      <c r="P163" s="226"/>
    </row>
    <row r="164" spans="1:43" ht="15.75" thickBot="1" x14ac:dyDescent="0.3">
      <c r="B164" s="1989" t="s">
        <v>178</v>
      </c>
      <c r="C164" s="260"/>
      <c r="D164" s="189">
        <v>2010</v>
      </c>
      <c r="E164" s="258">
        <v>2020</v>
      </c>
      <c r="F164" s="258">
        <v>2030</v>
      </c>
      <c r="G164" s="258">
        <v>2040</v>
      </c>
      <c r="H164" s="259">
        <v>2050</v>
      </c>
      <c r="J164" s="226"/>
      <c r="K164" s="226"/>
      <c r="L164" s="226"/>
      <c r="M164" s="226"/>
      <c r="N164" s="226"/>
      <c r="O164" s="226"/>
      <c r="P164" s="226"/>
    </row>
    <row r="165" spans="1:43" x14ac:dyDescent="0.25">
      <c r="B165" s="1990"/>
      <c r="C165" s="261"/>
      <c r="D165" s="252" t="s">
        <v>385</v>
      </c>
      <c r="E165" s="252" t="str">
        <f>D165</f>
        <v>MDKK/year</v>
      </c>
      <c r="F165" s="252" t="str">
        <f>E165</f>
        <v>MDKK/year</v>
      </c>
      <c r="G165" s="252" t="str">
        <f>F165</f>
        <v>MDKK/year</v>
      </c>
      <c r="H165" s="253" t="str">
        <f>G165</f>
        <v>MDKK/year</v>
      </c>
      <c r="J165" s="226"/>
      <c r="K165" s="226"/>
      <c r="L165" s="226"/>
      <c r="M165" s="226"/>
      <c r="N165" s="226"/>
      <c r="O165" s="226"/>
      <c r="P165" s="226"/>
    </row>
    <row r="166" spans="1:43" ht="15.75" thickBot="1" x14ac:dyDescent="0.3">
      <c r="B166" s="1991"/>
      <c r="C166" s="151" t="s">
        <v>374</v>
      </c>
      <c r="D166" s="270">
        <f>D147</f>
        <v>8231.2568206799442</v>
      </c>
      <c r="E166" s="270">
        <f>E147</f>
        <v>10407.631957645241</v>
      </c>
      <c r="F166" s="270">
        <f>F147</f>
        <v>12904.735902759172</v>
      </c>
      <c r="G166" s="270">
        <f>G147</f>
        <v>14443.46439441994</v>
      </c>
      <c r="H166" s="271">
        <f>H147</f>
        <v>15982.192886080711</v>
      </c>
      <c r="J166" s="226"/>
      <c r="K166" s="226"/>
      <c r="L166" s="226"/>
      <c r="M166" s="226"/>
      <c r="N166" s="226"/>
      <c r="O166" s="226"/>
      <c r="P166" s="226"/>
    </row>
    <row r="167" spans="1:43" s="73" customFormat="1" x14ac:dyDescent="0.25">
      <c r="A167" s="8"/>
      <c r="B167" s="879"/>
      <c r="C167" s="151" t="s">
        <v>373</v>
      </c>
      <c r="D167" s="270">
        <f>D148+D149</f>
        <v>11229.796124168073</v>
      </c>
      <c r="E167" s="270">
        <f>E148+E149</f>
        <v>19143.964755367793</v>
      </c>
      <c r="F167" s="270">
        <f>F148+F149</f>
        <v>18413.891379478919</v>
      </c>
      <c r="G167" s="270">
        <f>G148+G149</f>
        <v>15627.021288662263</v>
      </c>
      <c r="H167" s="271">
        <f>H148+H149</f>
        <v>14025.636961090611</v>
      </c>
      <c r="J167" s="880"/>
      <c r="K167" s="880"/>
      <c r="L167" s="880"/>
      <c r="M167" s="880"/>
      <c r="N167" s="880"/>
      <c r="O167" s="880"/>
      <c r="P167" s="880"/>
      <c r="AN167" s="880"/>
      <c r="AO167" s="880"/>
      <c r="AP167" s="880"/>
      <c r="AQ167" s="880"/>
    </row>
    <row r="168" spans="1:43" s="73" customFormat="1" x14ac:dyDescent="0.25">
      <c r="A168" s="8"/>
      <c r="B168" s="879"/>
      <c r="C168" s="151" t="s">
        <v>375</v>
      </c>
      <c r="D168" s="270">
        <f>D151</f>
        <v>2954.2873396446239</v>
      </c>
      <c r="E168" s="270">
        <f>E151</f>
        <v>3028.3769916521883</v>
      </c>
      <c r="F168" s="270">
        <f>F151</f>
        <v>3442.6199715409243</v>
      </c>
      <c r="G168" s="270">
        <f>G151</f>
        <v>3485.8654030614603</v>
      </c>
      <c r="H168" s="271">
        <f>H151</f>
        <v>3529.1108345819962</v>
      </c>
      <c r="J168" s="880"/>
      <c r="K168" s="880"/>
      <c r="L168" s="880"/>
      <c r="M168" s="880"/>
      <c r="N168" s="880"/>
      <c r="O168" s="880"/>
      <c r="P168" s="880"/>
      <c r="AN168" s="880"/>
      <c r="AO168" s="880"/>
      <c r="AP168" s="880"/>
      <c r="AQ168" s="880"/>
    </row>
    <row r="169" spans="1:43" s="73" customFormat="1" x14ac:dyDescent="0.25">
      <c r="A169" s="8"/>
      <c r="B169" s="879"/>
      <c r="C169" s="151" t="s">
        <v>376</v>
      </c>
      <c r="D169" s="266">
        <f>SUM(D152:D157)</f>
        <v>5669.2658459138111</v>
      </c>
      <c r="E169" s="266">
        <f>SUM(E152:E157)</f>
        <v>10385.438123807755</v>
      </c>
      <c r="F169" s="266">
        <f>SUM(F152:F157)</f>
        <v>13045.940731761766</v>
      </c>
      <c r="G169" s="266">
        <f>SUM(G152:G157)</f>
        <v>13748.98665260895</v>
      </c>
      <c r="H169" s="277">
        <f>SUM(H152:H157)</f>
        <v>14452.032573456132</v>
      </c>
      <c r="J169" s="878"/>
      <c r="K169" s="878"/>
      <c r="L169" s="878"/>
      <c r="M169" s="878"/>
      <c r="N169" s="878"/>
      <c r="O169" s="878"/>
      <c r="P169" s="878"/>
      <c r="AN169" s="878"/>
      <c r="AO169" s="878"/>
      <c r="AP169" s="878"/>
      <c r="AQ169" s="878"/>
    </row>
    <row r="170" spans="1:43" s="73" customFormat="1" x14ac:dyDescent="0.25">
      <c r="A170" s="8"/>
      <c r="B170" s="879"/>
      <c r="C170" s="151" t="s">
        <v>111</v>
      </c>
      <c r="D170" s="266">
        <f>SUM(D158:D161)</f>
        <v>0</v>
      </c>
      <c r="E170" s="266">
        <f>SUM(E158:E161)</f>
        <v>1158.2143610589721</v>
      </c>
      <c r="F170" s="266">
        <f>SUM(F158:F161)</f>
        <v>1158.2143610589721</v>
      </c>
      <c r="G170" s="266">
        <f>SUM(G158:G161)</f>
        <v>1158.2143610589721</v>
      </c>
      <c r="H170" s="267">
        <f>SUM(H158:H161)</f>
        <v>1158.2143610589721</v>
      </c>
      <c r="J170" s="880"/>
      <c r="K170" s="880"/>
      <c r="L170" s="880"/>
      <c r="M170" s="880"/>
      <c r="N170" s="880"/>
      <c r="O170" s="880"/>
      <c r="P170" s="880"/>
      <c r="AN170" s="880"/>
      <c r="AO170" s="880"/>
      <c r="AP170" s="880"/>
      <c r="AQ170" s="880"/>
    </row>
    <row r="171" spans="1:43" s="73" customFormat="1" ht="15.75" thickBot="1" x14ac:dyDescent="0.3">
      <c r="A171" s="8"/>
      <c r="B171" s="879"/>
      <c r="C171" s="262" t="s">
        <v>0</v>
      </c>
      <c r="D171" s="268">
        <f>SUM(D147:D161)</f>
        <v>28084.606130406453</v>
      </c>
      <c r="E171" s="268">
        <f>SUM(E147:E161)</f>
        <v>44123.626189531948</v>
      </c>
      <c r="F171" s="268">
        <f>SUM(F147:F161)</f>
        <v>48965.402346599752</v>
      </c>
      <c r="G171" s="268">
        <f>SUM(G147:G161)</f>
        <v>48463.552099811583</v>
      </c>
      <c r="H171" s="269">
        <f>SUM(H147:H161)</f>
        <v>49147.18761626842</v>
      </c>
      <c r="J171" s="878"/>
      <c r="K171" s="878"/>
      <c r="L171" s="878"/>
      <c r="M171" s="878"/>
      <c r="N171" s="878"/>
      <c r="O171" s="878"/>
      <c r="P171" s="878"/>
      <c r="AN171" s="878"/>
      <c r="AO171" s="878"/>
      <c r="AP171" s="878"/>
      <c r="AQ171" s="878"/>
    </row>
    <row r="172" spans="1:43" x14ac:dyDescent="0.25">
      <c r="J172" s="226"/>
      <c r="K172" s="226"/>
      <c r="L172" s="226"/>
      <c r="M172" s="226"/>
      <c r="N172" s="226"/>
      <c r="O172" s="226"/>
      <c r="P172" s="226"/>
    </row>
    <row r="176" spans="1:43" s="956" customFormat="1" x14ac:dyDescent="0.25">
      <c r="A176" s="8"/>
    </row>
    <row r="177" spans="1:1" s="956" customFormat="1" x14ac:dyDescent="0.25">
      <c r="A177" s="8"/>
    </row>
    <row r="178" spans="1:1" s="956" customFormat="1" x14ac:dyDescent="0.25">
      <c r="A178" s="8"/>
    </row>
    <row r="179" spans="1:1" s="956" customFormat="1" x14ac:dyDescent="0.25">
      <c r="A179" s="8"/>
    </row>
    <row r="180" spans="1:1" s="956" customFormat="1" x14ac:dyDescent="0.25">
      <c r="A180" s="8"/>
    </row>
    <row r="181" spans="1:1" s="73" customFormat="1" x14ac:dyDescent="0.25">
      <c r="A181" s="8"/>
    </row>
    <row r="182" spans="1:1" s="73" customFormat="1" x14ac:dyDescent="0.25">
      <c r="A182" s="8"/>
    </row>
    <row r="183" spans="1:1" s="73" customFormat="1" x14ac:dyDescent="0.25">
      <c r="A183" s="8"/>
    </row>
    <row r="184" spans="1:1" s="73" customFormat="1" x14ac:dyDescent="0.25">
      <c r="A184" s="8"/>
    </row>
    <row r="185" spans="1:1" s="73" customFormat="1" x14ac:dyDescent="0.25">
      <c r="A185" s="8"/>
    </row>
    <row r="186" spans="1:1" s="73" customFormat="1" x14ac:dyDescent="0.25">
      <c r="A186" s="8"/>
    </row>
    <row r="187" spans="1:1" s="73" customFormat="1" x14ac:dyDescent="0.25">
      <c r="A187" s="8"/>
    </row>
    <row r="188" spans="1:1" s="73" customFormat="1" x14ac:dyDescent="0.25">
      <c r="A188" s="8"/>
    </row>
    <row r="189" spans="1:1" s="73" customFormat="1" x14ac:dyDescent="0.25">
      <c r="A189" s="8"/>
    </row>
    <row r="190" spans="1:1" s="73" customFormat="1" x14ac:dyDescent="0.25">
      <c r="A190" s="8"/>
    </row>
    <row r="191" spans="1:1" s="73" customFormat="1" x14ac:dyDescent="0.25">
      <c r="A191" s="8"/>
    </row>
    <row r="192" spans="1:1" s="73" customFormat="1" x14ac:dyDescent="0.25">
      <c r="A192" s="8"/>
    </row>
    <row r="193" spans="1:1" s="73" customFormat="1" x14ac:dyDescent="0.25">
      <c r="A193" s="8"/>
    </row>
    <row r="194" spans="1:1" s="73" customFormat="1" x14ac:dyDescent="0.25">
      <c r="A194" s="8"/>
    </row>
    <row r="195" spans="1:1" s="73" customFormat="1" x14ac:dyDescent="0.25">
      <c r="A195" s="8"/>
    </row>
    <row r="196" spans="1:1" s="73" customFormat="1" x14ac:dyDescent="0.25">
      <c r="A196" s="8"/>
    </row>
    <row r="197" spans="1:1" s="73" customFormat="1" x14ac:dyDescent="0.25">
      <c r="A197" s="8"/>
    </row>
    <row r="198" spans="1:1" s="73" customFormat="1" x14ac:dyDescent="0.25">
      <c r="A198" s="8"/>
    </row>
    <row r="199" spans="1:1" s="73" customFormat="1" x14ac:dyDescent="0.25">
      <c r="A199" s="8"/>
    </row>
    <row r="200" spans="1:1" s="73" customFormat="1" x14ac:dyDescent="0.25">
      <c r="A200" s="8"/>
    </row>
    <row r="201" spans="1:1" s="73" customFormat="1" x14ac:dyDescent="0.25">
      <c r="A201" s="8"/>
    </row>
    <row r="202" spans="1:1" s="73" customFormat="1" x14ac:dyDescent="0.25">
      <c r="A202" s="8"/>
    </row>
    <row r="203" spans="1:1" s="73" customFormat="1" x14ac:dyDescent="0.25">
      <c r="A203" s="8"/>
    </row>
    <row r="204" spans="1:1" s="73" customFormat="1" x14ac:dyDescent="0.25">
      <c r="A204" s="8"/>
    </row>
    <row r="205" spans="1:1" s="73" customFormat="1" x14ac:dyDescent="0.25">
      <c r="A205" s="8"/>
    </row>
    <row r="206" spans="1:1" s="73" customFormat="1" x14ac:dyDescent="0.25">
      <c r="A206" s="8"/>
    </row>
    <row r="207" spans="1:1" s="73" customFormat="1" x14ac:dyDescent="0.25">
      <c r="A207" s="8"/>
    </row>
    <row r="208" spans="1:1" s="73" customFormat="1" x14ac:dyDescent="0.25">
      <c r="A208" s="8"/>
    </row>
    <row r="209" spans="1:1" s="73" customFormat="1" x14ac:dyDescent="0.25">
      <c r="A209" s="8"/>
    </row>
    <row r="210" spans="1:1" s="73" customFormat="1" x14ac:dyDescent="0.25">
      <c r="A210" s="8"/>
    </row>
    <row r="211" spans="1:1" s="73" customFormat="1" x14ac:dyDescent="0.25">
      <c r="A211" s="8"/>
    </row>
    <row r="212" spans="1:1" s="73" customFormat="1" x14ac:dyDescent="0.25">
      <c r="A212" s="8"/>
    </row>
    <row r="213" spans="1:1" s="73" customFormat="1" x14ac:dyDescent="0.25">
      <c r="A213" s="8"/>
    </row>
    <row r="214" spans="1:1" s="73" customFormat="1" x14ac:dyDescent="0.25">
      <c r="A214" s="8"/>
    </row>
    <row r="215" spans="1:1" s="73" customFormat="1" x14ac:dyDescent="0.25">
      <c r="A215" s="8"/>
    </row>
    <row r="216" spans="1:1" s="73" customFormat="1" x14ac:dyDescent="0.25">
      <c r="A216" s="8"/>
    </row>
    <row r="217" spans="1:1" s="73" customFormat="1" x14ac:dyDescent="0.25">
      <c r="A217" s="8"/>
    </row>
    <row r="218" spans="1:1" s="73" customFormat="1" x14ac:dyDescent="0.25">
      <c r="A218" s="8"/>
    </row>
    <row r="219" spans="1:1" s="73" customFormat="1" x14ac:dyDescent="0.25">
      <c r="A219" s="8"/>
    </row>
    <row r="220" spans="1:1" s="73" customFormat="1" x14ac:dyDescent="0.25">
      <c r="A220" s="8"/>
    </row>
    <row r="221" spans="1:1" s="73" customFormat="1" x14ac:dyDescent="0.25">
      <c r="A221" s="8"/>
    </row>
    <row r="222" spans="1:1" s="73" customFormat="1" x14ac:dyDescent="0.25">
      <c r="A222" s="8"/>
    </row>
    <row r="223" spans="1:1" s="73" customFormat="1" x14ac:dyDescent="0.25">
      <c r="A223" s="8"/>
    </row>
    <row r="224" spans="1:1" s="73" customFormat="1" x14ac:dyDescent="0.25">
      <c r="A224" s="8"/>
    </row>
    <row r="225" spans="1:1" s="73" customFormat="1" x14ac:dyDescent="0.25">
      <c r="A225" s="8"/>
    </row>
    <row r="226" spans="1:1" s="73" customFormat="1" x14ac:dyDescent="0.25">
      <c r="A226" s="8"/>
    </row>
    <row r="227" spans="1:1" s="73" customFormat="1" x14ac:dyDescent="0.25">
      <c r="A227" s="8"/>
    </row>
    <row r="228" spans="1:1" s="73" customFormat="1" x14ac:dyDescent="0.25">
      <c r="A228" s="8"/>
    </row>
    <row r="229" spans="1:1" s="73" customFormat="1" x14ac:dyDescent="0.25">
      <c r="A229" s="8"/>
    </row>
    <row r="230" spans="1:1" s="73" customFormat="1" x14ac:dyDescent="0.25">
      <c r="A230" s="8"/>
    </row>
    <row r="231" spans="1:1" s="73" customFormat="1" x14ac:dyDescent="0.25">
      <c r="A231" s="8"/>
    </row>
    <row r="232" spans="1:1" s="73" customFormat="1" x14ac:dyDescent="0.25">
      <c r="A232" s="8"/>
    </row>
    <row r="233" spans="1:1" s="73" customFormat="1" x14ac:dyDescent="0.25">
      <c r="A233" s="8"/>
    </row>
    <row r="234" spans="1:1" s="73" customFormat="1" x14ac:dyDescent="0.25">
      <c r="A234" s="8"/>
    </row>
    <row r="235" spans="1:1" s="73" customFormat="1" x14ac:dyDescent="0.25">
      <c r="A235" s="8"/>
    </row>
    <row r="236" spans="1:1" s="73" customFormat="1" x14ac:dyDescent="0.25">
      <c r="A236" s="8"/>
    </row>
    <row r="237" spans="1:1" s="73" customFormat="1" x14ac:dyDescent="0.25">
      <c r="A237" s="8"/>
    </row>
    <row r="238" spans="1:1" s="73" customFormat="1" x14ac:dyDescent="0.25">
      <c r="A238" s="8"/>
    </row>
    <row r="239" spans="1:1" s="73" customFormat="1" x14ac:dyDescent="0.25">
      <c r="A239" s="8"/>
    </row>
    <row r="240" spans="1:1" s="73" customFormat="1" x14ac:dyDescent="0.25">
      <c r="A240" s="8"/>
    </row>
    <row r="241" spans="1:1" s="73" customFormat="1" x14ac:dyDescent="0.25">
      <c r="A241" s="8"/>
    </row>
    <row r="242" spans="1:1" s="73" customFormat="1" x14ac:dyDescent="0.25">
      <c r="A242" s="8"/>
    </row>
    <row r="243" spans="1:1" s="73" customFormat="1" x14ac:dyDescent="0.25">
      <c r="A243" s="8"/>
    </row>
    <row r="244" spans="1:1" s="73" customFormat="1" x14ac:dyDescent="0.25">
      <c r="A244" s="8"/>
    </row>
    <row r="245" spans="1:1" s="73" customFormat="1" x14ac:dyDescent="0.25">
      <c r="A245" s="8"/>
    </row>
    <row r="246" spans="1:1" s="73" customFormat="1" x14ac:dyDescent="0.25">
      <c r="A246" s="8"/>
    </row>
    <row r="247" spans="1:1" s="73" customFormat="1" x14ac:dyDescent="0.25">
      <c r="A247" s="8"/>
    </row>
    <row r="248" spans="1:1" s="73" customFormat="1" x14ac:dyDescent="0.25">
      <c r="A248" s="8"/>
    </row>
    <row r="249" spans="1:1" s="73" customFormat="1" x14ac:dyDescent="0.25">
      <c r="A249" s="8"/>
    </row>
    <row r="250" spans="1:1" s="73" customFormat="1" x14ac:dyDescent="0.25">
      <c r="A250" s="8"/>
    </row>
    <row r="263" spans="1:1" s="896" customFormat="1" x14ac:dyDescent="0.25">
      <c r="A263" s="8"/>
    </row>
    <row r="264" spans="1:1" s="896" customFormat="1" x14ac:dyDescent="0.25">
      <c r="A264" s="8"/>
    </row>
    <row r="265" spans="1:1" s="896" customFormat="1" x14ac:dyDescent="0.25">
      <c r="A265" s="8"/>
    </row>
    <row r="270" spans="1:1" s="956" customFormat="1" x14ac:dyDescent="0.25">
      <c r="A270" s="8"/>
    </row>
    <row r="271" spans="1:1" s="956" customFormat="1" x14ac:dyDescent="0.25">
      <c r="A271" s="8"/>
    </row>
    <row r="272" spans="1:1" s="956" customFormat="1" x14ac:dyDescent="0.25">
      <c r="A272" s="8"/>
    </row>
    <row r="273" spans="1:1" s="956" customFormat="1" x14ac:dyDescent="0.25">
      <c r="A273" s="8"/>
    </row>
    <row r="274" spans="1:1" s="956" customFormat="1" x14ac:dyDescent="0.25">
      <c r="A274" s="8"/>
    </row>
    <row r="275" spans="1:1" s="956" customFormat="1" x14ac:dyDescent="0.25">
      <c r="A275" s="8"/>
    </row>
    <row r="276" spans="1:1" s="956" customFormat="1" x14ac:dyDescent="0.25">
      <c r="A276" s="8"/>
    </row>
    <row r="277" spans="1:1" s="956" customFormat="1" x14ac:dyDescent="0.25">
      <c r="A277" s="8"/>
    </row>
    <row r="278" spans="1:1" s="956" customFormat="1" x14ac:dyDescent="0.25">
      <c r="A278" s="8"/>
    </row>
    <row r="279" spans="1:1" s="956" customFormat="1" x14ac:dyDescent="0.25">
      <c r="A279" s="8"/>
    </row>
    <row r="280" spans="1:1" s="956" customFormat="1" x14ac:dyDescent="0.25">
      <c r="A280" s="8"/>
    </row>
    <row r="281" spans="1:1" s="956" customFormat="1" x14ac:dyDescent="0.25">
      <c r="A281" s="8"/>
    </row>
    <row r="282" spans="1:1" s="956" customFormat="1" x14ac:dyDescent="0.25">
      <c r="A282" s="8"/>
    </row>
    <row r="283" spans="1:1" s="956" customFormat="1" x14ac:dyDescent="0.25">
      <c r="A283" s="8"/>
    </row>
    <row r="284" spans="1:1" s="956" customFormat="1" x14ac:dyDescent="0.25">
      <c r="A284" s="8"/>
    </row>
    <row r="285" spans="1:1" s="956" customFormat="1" x14ac:dyDescent="0.25">
      <c r="A285" s="8"/>
    </row>
    <row r="286" spans="1:1" s="956" customFormat="1" x14ac:dyDescent="0.25">
      <c r="A286" s="8"/>
    </row>
    <row r="287" spans="1:1" s="956" customFormat="1" x14ac:dyDescent="0.25">
      <c r="A287" s="8"/>
    </row>
    <row r="288" spans="1:1" s="956" customFormat="1" x14ac:dyDescent="0.25">
      <c r="A288" s="8"/>
    </row>
    <row r="289" spans="1:1" s="956" customFormat="1" x14ac:dyDescent="0.25">
      <c r="A289" s="8"/>
    </row>
    <row r="290" spans="1:1" s="956" customFormat="1" x14ac:dyDescent="0.25">
      <c r="A290" s="8"/>
    </row>
    <row r="291" spans="1:1" s="956" customFormat="1" x14ac:dyDescent="0.25">
      <c r="A291" s="8"/>
    </row>
    <row r="292" spans="1:1" s="956" customFormat="1" x14ac:dyDescent="0.25">
      <c r="A292" s="8"/>
    </row>
    <row r="293" spans="1:1" s="956" customFormat="1" x14ac:dyDescent="0.25">
      <c r="A293" s="8"/>
    </row>
    <row r="294" spans="1:1" s="956" customFormat="1" x14ac:dyDescent="0.25">
      <c r="A294" s="8"/>
    </row>
    <row r="295" spans="1:1" s="956" customFormat="1" x14ac:dyDescent="0.25">
      <c r="A295" s="8"/>
    </row>
    <row r="296" spans="1:1" s="956" customFormat="1" x14ac:dyDescent="0.25">
      <c r="A296" s="8"/>
    </row>
    <row r="297" spans="1:1" s="956" customFormat="1" x14ac:dyDescent="0.25">
      <c r="A297" s="8"/>
    </row>
    <row r="298" spans="1:1" s="956" customFormat="1" x14ac:dyDescent="0.25">
      <c r="A298" s="8"/>
    </row>
    <row r="299" spans="1:1" s="956" customFormat="1" x14ac:dyDescent="0.25">
      <c r="A299" s="8"/>
    </row>
    <row r="300" spans="1:1" s="956" customFormat="1" x14ac:dyDescent="0.25">
      <c r="A300" s="8"/>
    </row>
    <row r="301" spans="1:1" s="956" customFormat="1" x14ac:dyDescent="0.25">
      <c r="A301" s="8"/>
    </row>
    <row r="302" spans="1:1" s="956" customFormat="1" x14ac:dyDescent="0.25">
      <c r="A302" s="8"/>
    </row>
    <row r="303" spans="1:1" s="956" customFormat="1" x14ac:dyDescent="0.25">
      <c r="A303" s="8"/>
    </row>
    <row r="304" spans="1:1" s="956" customFormat="1" x14ac:dyDescent="0.25">
      <c r="A304" s="8"/>
    </row>
    <row r="305" spans="1:1" s="956" customFormat="1" x14ac:dyDescent="0.25">
      <c r="A305" s="8"/>
    </row>
    <row r="306" spans="1:1" s="956" customFormat="1" x14ac:dyDescent="0.25">
      <c r="A306" s="8"/>
    </row>
    <row r="307" spans="1:1" s="956" customFormat="1" x14ac:dyDescent="0.25">
      <c r="A307" s="8"/>
    </row>
    <row r="308" spans="1:1" s="956" customFormat="1" x14ac:dyDescent="0.25">
      <c r="A308" s="8"/>
    </row>
    <row r="309" spans="1:1" s="956" customFormat="1" x14ac:dyDescent="0.25">
      <c r="A309" s="8"/>
    </row>
    <row r="310" spans="1:1" s="956" customFormat="1" x14ac:dyDescent="0.25">
      <c r="A310" s="8"/>
    </row>
    <row r="311" spans="1:1" s="956" customFormat="1" x14ac:dyDescent="0.25">
      <c r="A311" s="8"/>
    </row>
    <row r="312" spans="1:1" s="956" customFormat="1" x14ac:dyDescent="0.25">
      <c r="A312" s="8"/>
    </row>
    <row r="313" spans="1:1" s="956" customFormat="1" x14ac:dyDescent="0.25">
      <c r="A313" s="8"/>
    </row>
    <row r="314" spans="1:1" s="956" customFormat="1" x14ac:dyDescent="0.25">
      <c r="A314" s="8"/>
    </row>
    <row r="315" spans="1:1" s="956" customFormat="1" x14ac:dyDescent="0.25">
      <c r="A315" s="8"/>
    </row>
    <row r="316" spans="1:1" s="956" customFormat="1" x14ac:dyDescent="0.25">
      <c r="A316" s="8"/>
    </row>
    <row r="317" spans="1:1" s="956" customFormat="1" x14ac:dyDescent="0.25">
      <c r="A317" s="8"/>
    </row>
    <row r="318" spans="1:1" s="956" customFormat="1" x14ac:dyDescent="0.25">
      <c r="A318" s="8"/>
    </row>
    <row r="319" spans="1:1" s="956" customFormat="1" x14ac:dyDescent="0.25">
      <c r="A319" s="8"/>
    </row>
    <row r="320" spans="1:1" s="956" customFormat="1" x14ac:dyDescent="0.25">
      <c r="A320" s="8"/>
    </row>
    <row r="321" spans="1:1" s="956" customFormat="1" x14ac:dyDescent="0.25">
      <c r="A321" s="8"/>
    </row>
    <row r="322" spans="1:1" s="956" customFormat="1" x14ac:dyDescent="0.25">
      <c r="A322" s="8"/>
    </row>
    <row r="323" spans="1:1" s="956" customFormat="1" x14ac:dyDescent="0.25">
      <c r="A323" s="8"/>
    </row>
    <row r="324" spans="1:1" s="956" customFormat="1" x14ac:dyDescent="0.25">
      <c r="A324" s="8"/>
    </row>
    <row r="325" spans="1:1" s="956" customFormat="1" x14ac:dyDescent="0.25">
      <c r="A325" s="8"/>
    </row>
    <row r="326" spans="1:1" s="956" customFormat="1" x14ac:dyDescent="0.25">
      <c r="A326" s="8"/>
    </row>
    <row r="327" spans="1:1" s="956" customFormat="1" x14ac:dyDescent="0.25">
      <c r="A327" s="8"/>
    </row>
    <row r="328" spans="1:1" s="956" customFormat="1" x14ac:dyDescent="0.25">
      <c r="A328" s="8"/>
    </row>
    <row r="329" spans="1:1" s="956" customFormat="1" x14ac:dyDescent="0.25">
      <c r="A329" s="8"/>
    </row>
    <row r="330" spans="1:1" s="956" customFormat="1" x14ac:dyDescent="0.25">
      <c r="A330" s="8"/>
    </row>
    <row r="331" spans="1:1" s="956" customFormat="1" x14ac:dyDescent="0.25">
      <c r="A331" s="8"/>
    </row>
    <row r="332" spans="1:1" s="956" customFormat="1" x14ac:dyDescent="0.25">
      <c r="A332" s="8"/>
    </row>
    <row r="333" spans="1:1" s="956" customFormat="1" x14ac:dyDescent="0.25">
      <c r="A333" s="8"/>
    </row>
    <row r="334" spans="1:1" s="956" customFormat="1" x14ac:dyDescent="0.25">
      <c r="A334" s="8"/>
    </row>
    <row r="335" spans="1:1" s="73" customFormat="1" x14ac:dyDescent="0.25">
      <c r="A335" s="8"/>
    </row>
    <row r="336" spans="1:1" s="73" customFormat="1" x14ac:dyDescent="0.25">
      <c r="A336" s="8"/>
    </row>
    <row r="337" spans="1:1" s="73" customFormat="1" x14ac:dyDescent="0.25">
      <c r="A337" s="8"/>
    </row>
    <row r="338" spans="1:1" s="73" customFormat="1" x14ac:dyDescent="0.25">
      <c r="A338" s="8"/>
    </row>
    <row r="339" spans="1:1" s="73" customFormat="1" x14ac:dyDescent="0.25">
      <c r="A339" s="8"/>
    </row>
    <row r="340" spans="1:1" s="73" customFormat="1" x14ac:dyDescent="0.25">
      <c r="A340" s="8"/>
    </row>
    <row r="341" spans="1:1" s="73" customFormat="1" x14ac:dyDescent="0.25">
      <c r="A341" s="8"/>
    </row>
    <row r="342" spans="1:1" s="73" customFormat="1" x14ac:dyDescent="0.25">
      <c r="A342" s="8"/>
    </row>
    <row r="343" spans="1:1" s="73" customFormat="1" x14ac:dyDescent="0.25">
      <c r="A343" s="8"/>
    </row>
    <row r="344" spans="1:1" s="73" customFormat="1" x14ac:dyDescent="0.25">
      <c r="A344" s="8"/>
    </row>
    <row r="345" spans="1:1" s="73" customFormat="1" x14ac:dyDescent="0.25">
      <c r="A345" s="8"/>
    </row>
    <row r="346" spans="1:1" s="73" customFormat="1" x14ac:dyDescent="0.25">
      <c r="A346" s="8"/>
    </row>
    <row r="347" spans="1:1" s="896" customFormat="1" x14ac:dyDescent="0.25">
      <c r="A347" s="8"/>
    </row>
    <row r="348" spans="1:1" s="896" customFormat="1" x14ac:dyDescent="0.25">
      <c r="A348" s="8"/>
    </row>
    <row r="349" spans="1:1" s="896" customFormat="1" x14ac:dyDescent="0.25">
      <c r="A349" s="8"/>
    </row>
    <row r="350" spans="1:1" s="73" customFormat="1" x14ac:dyDescent="0.25">
      <c r="A350" s="8"/>
    </row>
    <row r="351" spans="1:1" s="73" customFormat="1" x14ac:dyDescent="0.25">
      <c r="A351" s="8"/>
    </row>
    <row r="352" spans="1:1" s="73" customFormat="1" ht="16.5" customHeight="1" x14ac:dyDescent="0.25">
      <c r="A352" s="8"/>
    </row>
    <row r="353" spans="1:1" s="73" customFormat="1" x14ac:dyDescent="0.25">
      <c r="A353" s="8"/>
    </row>
    <row r="354" spans="1:1" s="73" customFormat="1" x14ac:dyDescent="0.25">
      <c r="A354" s="8"/>
    </row>
    <row r="366" spans="1:1" s="896" customFormat="1" x14ac:dyDescent="0.25">
      <c r="A366" s="8"/>
    </row>
    <row r="367" spans="1:1" s="896" customFormat="1" x14ac:dyDescent="0.25">
      <c r="A367" s="8"/>
    </row>
    <row r="368" spans="1:1" s="896" customFormat="1" x14ac:dyDescent="0.25">
      <c r="A368" s="8"/>
    </row>
    <row r="374" spans="1:1" s="73" customFormat="1" x14ac:dyDescent="0.25">
      <c r="A374" s="8"/>
    </row>
    <row r="375" spans="1:1" s="226" customFormat="1" ht="12.75" x14ac:dyDescent="0.2"/>
    <row r="387" spans="1:1" s="896" customFormat="1" x14ac:dyDescent="0.25">
      <c r="A387" s="8"/>
    </row>
    <row r="388" spans="1:1" s="896" customFormat="1" x14ac:dyDescent="0.25">
      <c r="A388" s="8"/>
    </row>
    <row r="389" spans="1:1" s="896" customFormat="1" x14ac:dyDescent="0.25">
      <c r="A389" s="8"/>
    </row>
    <row r="446" spans="1:1" s="896" customFormat="1" x14ac:dyDescent="0.25">
      <c r="A446" s="8"/>
    </row>
    <row r="503" spans="1:1" s="73" customFormat="1" x14ac:dyDescent="0.25">
      <c r="A503" s="8"/>
    </row>
    <row r="507" spans="1:1" s="73" customFormat="1" x14ac:dyDescent="0.25">
      <c r="A507" s="8"/>
    </row>
  </sheetData>
  <sheetProtection algorithmName="SHA-512" hashValue="5C2ZOhXUXWT7X2zqy1UoTfxUjG9XbhpXi4QI37m+GJMFlIQzOl+rwFzhpfvomdwAceoGRwyVKgkAsZ5VfjckzA==" saltValue="Ha9kUKTAZWPVsAo3c1+Y4w==" spinCount="100000" sheet="1" objects="1" scenarios="1" selectLockedCells="1" selectUnlockedCells="1"/>
  <mergeCells count="27">
    <mergeCell ref="BK59:BP59"/>
    <mergeCell ref="BK73:BN73"/>
    <mergeCell ref="BK4:BP4"/>
    <mergeCell ref="BK15:BP15"/>
    <mergeCell ref="BK26:BN26"/>
    <mergeCell ref="AR45:AS45"/>
    <mergeCell ref="AT45:AU45"/>
    <mergeCell ref="AV45:AW45"/>
    <mergeCell ref="BD45:BD46"/>
    <mergeCell ref="BK45:BP45"/>
    <mergeCell ref="AP2:AW2"/>
    <mergeCell ref="AY2:BB2"/>
    <mergeCell ref="BD2:BI2"/>
    <mergeCell ref="AR4:AS4"/>
    <mergeCell ref="AT4:AU4"/>
    <mergeCell ref="AV4:AW4"/>
    <mergeCell ref="BD4:BD5"/>
    <mergeCell ref="B164:B166"/>
    <mergeCell ref="B135:B137"/>
    <mergeCell ref="C72:D72"/>
    <mergeCell ref="E72:F72"/>
    <mergeCell ref="G72:H72"/>
    <mergeCell ref="U7:U9"/>
    <mergeCell ref="U11:U13"/>
    <mergeCell ref="K72:L72"/>
    <mergeCell ref="I72:J72"/>
    <mergeCell ref="B89:L92"/>
  </mergeCells>
  <conditionalFormatting sqref="F55">
    <cfRule type="cellIs" dxfId="47" priority="231" operator="greaterThan">
      <formula>1</formula>
    </cfRule>
    <cfRule type="colorScale" priority="232">
      <colorScale>
        <cfvo type="min"/>
        <cfvo type="max"/>
        <color rgb="FFF8696B"/>
        <color rgb="FFFCFCFF"/>
      </colorScale>
    </cfRule>
  </conditionalFormatting>
  <conditionalFormatting sqref="F61">
    <cfRule type="cellIs" dxfId="46" priority="201" operator="greaterThan">
      <formula>1</formula>
    </cfRule>
    <cfRule type="colorScale" priority="202">
      <colorScale>
        <cfvo type="min"/>
        <cfvo type="max"/>
        <color rgb="FFF8696B"/>
        <color rgb="FFFCFCFF"/>
      </colorScale>
    </cfRule>
  </conditionalFormatting>
  <conditionalFormatting sqref="J61">
    <cfRule type="cellIs" dxfId="45" priority="199" operator="greaterThan">
      <formula>1</formula>
    </cfRule>
    <cfRule type="colorScale" priority="200">
      <colorScale>
        <cfvo type="min"/>
        <cfvo type="max"/>
        <color rgb="FFF8696B"/>
        <color rgb="FFFCFCFF"/>
      </colorScale>
    </cfRule>
  </conditionalFormatting>
  <conditionalFormatting sqref="N61">
    <cfRule type="cellIs" dxfId="44" priority="197" operator="greaterThan">
      <formula>1</formula>
    </cfRule>
    <cfRule type="colorScale" priority="198">
      <colorScale>
        <cfvo type="min"/>
        <cfvo type="max"/>
        <color rgb="FFF8696B"/>
        <color rgb="FFFCFCFF"/>
      </colorScale>
    </cfRule>
  </conditionalFormatting>
  <conditionalFormatting sqref="F62">
    <cfRule type="cellIs" dxfId="43" priority="195" operator="greaterThan">
      <formula>1</formula>
    </cfRule>
    <cfRule type="colorScale" priority="196">
      <colorScale>
        <cfvo type="min"/>
        <cfvo type="max"/>
        <color rgb="FFF8696B"/>
        <color rgb="FFFCFCFF"/>
      </colorScale>
    </cfRule>
  </conditionalFormatting>
  <conditionalFormatting sqref="J62">
    <cfRule type="cellIs" dxfId="42" priority="193" operator="greaterThan">
      <formula>1</formula>
    </cfRule>
    <cfRule type="colorScale" priority="194">
      <colorScale>
        <cfvo type="min"/>
        <cfvo type="max"/>
        <color rgb="FFF8696B"/>
        <color rgb="FFFCFCFF"/>
      </colorScale>
    </cfRule>
  </conditionalFormatting>
  <conditionalFormatting sqref="N62">
    <cfRule type="cellIs" dxfId="41" priority="191" operator="greaterThan">
      <formula>1</formula>
    </cfRule>
    <cfRule type="colorScale" priority="192">
      <colorScale>
        <cfvo type="min"/>
        <cfvo type="max"/>
        <color rgb="FFF8696B"/>
        <color rgb="FFFCFCFF"/>
      </colorScale>
    </cfRule>
  </conditionalFormatting>
  <conditionalFormatting sqref="F63">
    <cfRule type="cellIs" dxfId="40" priority="189" operator="greaterThan">
      <formula>1</formula>
    </cfRule>
    <cfRule type="colorScale" priority="190">
      <colorScale>
        <cfvo type="min"/>
        <cfvo type="max"/>
        <color rgb="FFF8696B"/>
        <color rgb="FFFCFCFF"/>
      </colorScale>
    </cfRule>
  </conditionalFormatting>
  <conditionalFormatting sqref="J63">
    <cfRule type="cellIs" dxfId="39" priority="187" operator="greaterThan">
      <formula>1</formula>
    </cfRule>
    <cfRule type="colorScale" priority="188">
      <colorScale>
        <cfvo type="min"/>
        <cfvo type="max"/>
        <color rgb="FFF8696B"/>
        <color rgb="FFFCFCFF"/>
      </colorScale>
    </cfRule>
  </conditionalFormatting>
  <conditionalFormatting sqref="N63">
    <cfRule type="cellIs" dxfId="38" priority="185" operator="greaterThan">
      <formula>1</formula>
    </cfRule>
    <cfRule type="colorScale" priority="186">
      <colorScale>
        <cfvo type="min"/>
        <cfvo type="max"/>
        <color rgb="FFF8696B"/>
        <color rgb="FFFCFCFF"/>
      </colorScale>
    </cfRule>
  </conditionalFormatting>
  <conditionalFormatting sqref="F64">
    <cfRule type="cellIs" dxfId="37" priority="183" operator="greaterThan">
      <formula>1</formula>
    </cfRule>
    <cfRule type="colorScale" priority="184">
      <colorScale>
        <cfvo type="min"/>
        <cfvo type="max"/>
        <color rgb="FFF8696B"/>
        <color rgb="FFFCFCFF"/>
      </colorScale>
    </cfRule>
  </conditionalFormatting>
  <conditionalFormatting sqref="J64">
    <cfRule type="cellIs" dxfId="36" priority="181" operator="greaterThan">
      <formula>1</formula>
    </cfRule>
    <cfRule type="colorScale" priority="182">
      <colorScale>
        <cfvo type="min"/>
        <cfvo type="max"/>
        <color rgb="FFF8696B"/>
        <color rgb="FFFCFCFF"/>
      </colorScale>
    </cfRule>
  </conditionalFormatting>
  <conditionalFormatting sqref="N64">
    <cfRule type="cellIs" dxfId="35" priority="179" operator="greaterThan">
      <formula>1</formula>
    </cfRule>
    <cfRule type="colorScale" priority="180">
      <colorScale>
        <cfvo type="min"/>
        <cfvo type="max"/>
        <color rgb="FFF8696B"/>
        <color rgb="FFFCFCFF"/>
      </colorScale>
    </cfRule>
  </conditionalFormatting>
  <conditionalFormatting sqref="F65">
    <cfRule type="cellIs" dxfId="34" priority="177" operator="greaterThan">
      <formula>1</formula>
    </cfRule>
    <cfRule type="colorScale" priority="178">
      <colorScale>
        <cfvo type="min"/>
        <cfvo type="max"/>
        <color rgb="FFF8696B"/>
        <color rgb="FFFCFCFF"/>
      </colorScale>
    </cfRule>
  </conditionalFormatting>
  <conditionalFormatting sqref="J65">
    <cfRule type="cellIs" dxfId="33" priority="175" operator="greaterThan">
      <formula>1</formula>
    </cfRule>
    <cfRule type="colorScale" priority="176">
      <colorScale>
        <cfvo type="min"/>
        <cfvo type="max"/>
        <color rgb="FFF8696B"/>
        <color rgb="FFFCFCFF"/>
      </colorScale>
    </cfRule>
  </conditionalFormatting>
  <conditionalFormatting sqref="N65">
    <cfRule type="cellIs" dxfId="32" priority="173" operator="greaterThan">
      <formula>1</formula>
    </cfRule>
    <cfRule type="colorScale" priority="174">
      <colorScale>
        <cfvo type="min"/>
        <cfvo type="max"/>
        <color rgb="FFF8696B"/>
        <color rgb="FFFCFCFF"/>
      </colorScale>
    </cfRule>
  </conditionalFormatting>
  <conditionalFormatting sqref="F67">
    <cfRule type="cellIs" dxfId="31" priority="165" operator="greaterThan">
      <formula>1</formula>
    </cfRule>
    <cfRule type="colorScale" priority="166">
      <colorScale>
        <cfvo type="min"/>
        <cfvo type="max"/>
        <color rgb="FFF8696B"/>
        <color rgb="FFFCFCFF"/>
      </colorScale>
    </cfRule>
  </conditionalFormatting>
  <conditionalFormatting sqref="J67">
    <cfRule type="cellIs" dxfId="30" priority="163" operator="greaterThan">
      <formula>1</formula>
    </cfRule>
    <cfRule type="colorScale" priority="164">
      <colorScale>
        <cfvo type="min"/>
        <cfvo type="max"/>
        <color rgb="FFF8696B"/>
        <color rgb="FFFCFCFF"/>
      </colorScale>
    </cfRule>
  </conditionalFormatting>
  <conditionalFormatting sqref="N67">
    <cfRule type="cellIs" dxfId="29" priority="161" operator="greaterThan">
      <formula>1</formula>
    </cfRule>
    <cfRule type="colorScale" priority="162">
      <colorScale>
        <cfvo type="min"/>
        <cfvo type="max"/>
        <color rgb="FFF8696B"/>
        <color rgb="FFFCFCFF"/>
      </colorScale>
    </cfRule>
  </conditionalFormatting>
  <conditionalFormatting sqref="F47:F49">
    <cfRule type="cellIs" dxfId="28" priority="87" operator="greaterThan">
      <formula>1</formula>
    </cfRule>
    <cfRule type="colorScale" priority="88">
      <colorScale>
        <cfvo type="min"/>
        <cfvo type="max"/>
        <color rgb="FFF8696B"/>
        <color rgb="FFFCFCFF"/>
      </colorScale>
    </cfRule>
  </conditionalFormatting>
  <conditionalFormatting sqref="F50">
    <cfRule type="cellIs" dxfId="27" priority="85" operator="greaterThan">
      <formula>1</formula>
    </cfRule>
    <cfRule type="colorScale" priority="86">
      <colorScale>
        <cfvo type="min"/>
        <cfvo type="max"/>
        <color rgb="FFF8696B"/>
        <color rgb="FFFCFCFF"/>
      </colorScale>
    </cfRule>
  </conditionalFormatting>
  <conditionalFormatting sqref="J47:J49">
    <cfRule type="cellIs" dxfId="26" priority="83" operator="greaterThan">
      <formula>1</formula>
    </cfRule>
    <cfRule type="colorScale" priority="84">
      <colorScale>
        <cfvo type="min"/>
        <cfvo type="max"/>
        <color rgb="FFF8696B"/>
        <color rgb="FFFCFCFF"/>
      </colorScale>
    </cfRule>
  </conditionalFormatting>
  <conditionalFormatting sqref="J50">
    <cfRule type="cellIs" dxfId="25" priority="81" operator="greaterThan">
      <formula>1</formula>
    </cfRule>
    <cfRule type="colorScale" priority="82">
      <colorScale>
        <cfvo type="min"/>
        <cfvo type="max"/>
        <color rgb="FFF8696B"/>
        <color rgb="FFFCFCFF"/>
      </colorScale>
    </cfRule>
  </conditionalFormatting>
  <conditionalFormatting sqref="N47:N49">
    <cfRule type="cellIs" dxfId="24" priority="79" operator="greaterThan">
      <formula>1</formula>
    </cfRule>
    <cfRule type="colorScale" priority="80">
      <colorScale>
        <cfvo type="min"/>
        <cfvo type="max"/>
        <color rgb="FFF8696B"/>
        <color rgb="FFFCFCFF"/>
      </colorScale>
    </cfRule>
  </conditionalFormatting>
  <conditionalFormatting sqref="N50">
    <cfRule type="cellIs" dxfId="23" priority="77" operator="greaterThan">
      <formula>1</formula>
    </cfRule>
    <cfRule type="colorScale" priority="78">
      <colorScale>
        <cfvo type="min"/>
        <cfvo type="max"/>
        <color rgb="FFF8696B"/>
        <color rgb="FFFCFCFF"/>
      </colorScale>
    </cfRule>
  </conditionalFormatting>
  <conditionalFormatting sqref="F51:F53">
    <cfRule type="cellIs" dxfId="22" priority="69" operator="greaterThan">
      <formula>1</formula>
    </cfRule>
    <cfRule type="colorScale" priority="70">
      <colorScale>
        <cfvo type="min"/>
        <cfvo type="max"/>
        <color rgb="FFF8696B"/>
        <color rgb="FFFCFCFF"/>
      </colorScale>
    </cfRule>
  </conditionalFormatting>
  <conditionalFormatting sqref="F54">
    <cfRule type="cellIs" dxfId="21" priority="67" operator="greaterThan">
      <formula>1</formula>
    </cfRule>
    <cfRule type="colorScale" priority="68">
      <colorScale>
        <cfvo type="min"/>
        <cfvo type="max"/>
        <color rgb="FFF8696B"/>
        <color rgb="FFFCFCFF"/>
      </colorScale>
    </cfRule>
  </conditionalFormatting>
  <conditionalFormatting sqref="J51:J53">
    <cfRule type="cellIs" dxfId="20" priority="65" operator="greaterThan">
      <formula>1</formula>
    </cfRule>
    <cfRule type="colorScale" priority="66">
      <colorScale>
        <cfvo type="min"/>
        <cfvo type="max"/>
        <color rgb="FFF8696B"/>
        <color rgb="FFFCFCFF"/>
      </colorScale>
    </cfRule>
  </conditionalFormatting>
  <conditionalFormatting sqref="J54">
    <cfRule type="cellIs" dxfId="19" priority="63" operator="greaterThan">
      <formula>1</formula>
    </cfRule>
    <cfRule type="colorScale" priority="64">
      <colorScale>
        <cfvo type="min"/>
        <cfvo type="max"/>
        <color rgb="FFF8696B"/>
        <color rgb="FFFCFCFF"/>
      </colorScale>
    </cfRule>
  </conditionalFormatting>
  <conditionalFormatting sqref="N51:N53">
    <cfRule type="cellIs" dxfId="18" priority="61" operator="greaterThan">
      <formula>1</formula>
    </cfRule>
    <cfRule type="colorScale" priority="62">
      <colorScale>
        <cfvo type="min"/>
        <cfvo type="max"/>
        <color rgb="FFF8696B"/>
        <color rgb="FFFCFCFF"/>
      </colorScale>
    </cfRule>
  </conditionalFormatting>
  <conditionalFormatting sqref="N54">
    <cfRule type="cellIs" dxfId="17" priority="59" operator="greaterThan">
      <formula>1</formula>
    </cfRule>
    <cfRule type="colorScale" priority="60">
      <colorScale>
        <cfvo type="min"/>
        <cfvo type="max"/>
        <color rgb="FFF8696B"/>
        <color rgb="FFFCFCFF"/>
      </colorScale>
    </cfRule>
  </conditionalFormatting>
  <conditionalFormatting sqref="F56">
    <cfRule type="cellIs" dxfId="16" priority="45" operator="greaterThan">
      <formula>1</formula>
    </cfRule>
    <cfRule type="colorScale" priority="46">
      <colorScale>
        <cfvo type="min"/>
        <cfvo type="max"/>
        <color rgb="FFF8696B"/>
        <color rgb="FFFCFCFF"/>
      </colorScale>
    </cfRule>
  </conditionalFormatting>
  <conditionalFormatting sqref="F57">
    <cfRule type="cellIs" dxfId="15" priority="43" operator="greaterThan">
      <formula>1</formula>
    </cfRule>
    <cfRule type="colorScale" priority="44">
      <colorScale>
        <cfvo type="min"/>
        <cfvo type="max"/>
        <color rgb="FFF8696B"/>
        <color rgb="FFFCFCFF"/>
      </colorScale>
    </cfRule>
  </conditionalFormatting>
  <conditionalFormatting sqref="J55">
    <cfRule type="cellIs" dxfId="14" priority="41" operator="greaterThan">
      <formula>1</formula>
    </cfRule>
    <cfRule type="colorScale" priority="42">
      <colorScale>
        <cfvo type="min"/>
        <cfvo type="max"/>
        <color rgb="FFF8696B"/>
        <color rgb="FFFCFCFF"/>
      </colorScale>
    </cfRule>
  </conditionalFormatting>
  <conditionalFormatting sqref="J56">
    <cfRule type="cellIs" dxfId="13" priority="39" operator="greaterThan">
      <formula>1</formula>
    </cfRule>
    <cfRule type="colorScale" priority="40">
      <colorScale>
        <cfvo type="min"/>
        <cfvo type="max"/>
        <color rgb="FFF8696B"/>
        <color rgb="FFFCFCFF"/>
      </colorScale>
    </cfRule>
  </conditionalFormatting>
  <conditionalFormatting sqref="J57">
    <cfRule type="cellIs" dxfId="12" priority="37" operator="greaterThan">
      <formula>1</formula>
    </cfRule>
    <cfRule type="colorScale" priority="38">
      <colorScale>
        <cfvo type="min"/>
        <cfvo type="max"/>
        <color rgb="FFF8696B"/>
        <color rgb="FFFCFCFF"/>
      </colorScale>
    </cfRule>
  </conditionalFormatting>
  <conditionalFormatting sqref="N55">
    <cfRule type="cellIs" dxfId="11" priority="35" operator="greaterThan">
      <formula>1</formula>
    </cfRule>
    <cfRule type="colorScale" priority="36">
      <colorScale>
        <cfvo type="min"/>
        <cfvo type="max"/>
        <color rgb="FFF8696B"/>
        <color rgb="FFFCFCFF"/>
      </colorScale>
    </cfRule>
  </conditionalFormatting>
  <conditionalFormatting sqref="N56">
    <cfRule type="cellIs" dxfId="10" priority="33" operator="greaterThan">
      <formula>1</formula>
    </cfRule>
    <cfRule type="colorScale" priority="34">
      <colorScale>
        <cfvo type="min"/>
        <cfvo type="max"/>
        <color rgb="FFF8696B"/>
        <color rgb="FFFCFCFF"/>
      </colorScale>
    </cfRule>
  </conditionalFormatting>
  <conditionalFormatting sqref="N57">
    <cfRule type="cellIs" dxfId="9" priority="31" operator="greaterThan">
      <formula>1</formula>
    </cfRule>
    <cfRule type="colorScale" priority="32">
      <colorScale>
        <cfvo type="min"/>
        <cfvo type="max"/>
        <color rgb="FFF8696B"/>
        <color rgb="FFFCFCFF"/>
      </colorScale>
    </cfRule>
  </conditionalFormatting>
  <conditionalFormatting sqref="F58">
    <cfRule type="cellIs" dxfId="8" priority="29" operator="greaterThan">
      <formula>1</formula>
    </cfRule>
    <cfRule type="colorScale" priority="30">
      <colorScale>
        <cfvo type="min"/>
        <cfvo type="max"/>
        <color rgb="FFF8696B"/>
        <color rgb="FFFCFCFF"/>
      </colorScale>
    </cfRule>
  </conditionalFormatting>
  <conditionalFormatting sqref="F59">
    <cfRule type="cellIs" dxfId="7" priority="27" operator="greaterThan">
      <formula>1</formula>
    </cfRule>
    <cfRule type="colorScale" priority="28">
      <colorScale>
        <cfvo type="min"/>
        <cfvo type="max"/>
        <color rgb="FFF8696B"/>
        <color rgb="FFFCFCFF"/>
      </colorScale>
    </cfRule>
  </conditionalFormatting>
  <conditionalFormatting sqref="F60">
    <cfRule type="cellIs" dxfId="6" priority="25" operator="greaterThan">
      <formula>1</formula>
    </cfRule>
    <cfRule type="colorScale" priority="26">
      <colorScale>
        <cfvo type="min"/>
        <cfvo type="max"/>
        <color rgb="FFF8696B"/>
        <color rgb="FFFCFCFF"/>
      </colorScale>
    </cfRule>
  </conditionalFormatting>
  <conditionalFormatting sqref="J58">
    <cfRule type="cellIs" dxfId="5" priority="23" operator="greaterThan">
      <formula>1</formula>
    </cfRule>
    <cfRule type="colorScale" priority="24">
      <colorScale>
        <cfvo type="min"/>
        <cfvo type="max"/>
        <color rgb="FFF8696B"/>
        <color rgb="FFFCFCFF"/>
      </colorScale>
    </cfRule>
  </conditionalFormatting>
  <conditionalFormatting sqref="J59">
    <cfRule type="cellIs" dxfId="4" priority="21" operator="greaterThan">
      <formula>1</formula>
    </cfRule>
    <cfRule type="colorScale" priority="22">
      <colorScale>
        <cfvo type="min"/>
        <cfvo type="max"/>
        <color rgb="FFF8696B"/>
        <color rgb="FFFCFCFF"/>
      </colorScale>
    </cfRule>
  </conditionalFormatting>
  <conditionalFormatting sqref="J60">
    <cfRule type="cellIs" dxfId="3" priority="19" operator="greaterThan">
      <formula>1</formula>
    </cfRule>
    <cfRule type="colorScale" priority="20">
      <colorScale>
        <cfvo type="min"/>
        <cfvo type="max"/>
        <color rgb="FFF8696B"/>
        <color rgb="FFFCFCFF"/>
      </colorScale>
    </cfRule>
  </conditionalFormatting>
  <conditionalFormatting sqref="N58">
    <cfRule type="cellIs" dxfId="2" priority="17" operator="greaterThan">
      <formula>1</formula>
    </cfRule>
    <cfRule type="colorScale" priority="18">
      <colorScale>
        <cfvo type="min"/>
        <cfvo type="max"/>
        <color rgb="FFF8696B"/>
        <color rgb="FFFCFCFF"/>
      </colorScale>
    </cfRule>
  </conditionalFormatting>
  <conditionalFormatting sqref="N59">
    <cfRule type="cellIs" dxfId="1" priority="15" operator="greaterThan">
      <formula>1</formula>
    </cfRule>
    <cfRule type="colorScale" priority="16">
      <colorScale>
        <cfvo type="min"/>
        <cfvo type="max"/>
        <color rgb="FFF8696B"/>
        <color rgb="FFFCFCFF"/>
      </colorScale>
    </cfRule>
  </conditionalFormatting>
  <conditionalFormatting sqref="N60">
    <cfRule type="cellIs" dxfId="0" priority="13" operator="greaterThan">
      <formula>1</formula>
    </cfRule>
    <cfRule type="colorScale" priority="14">
      <colorScale>
        <cfvo type="min"/>
        <cfvo type="max"/>
        <color rgb="FFF8696B"/>
        <color rgb="FFFCFCFF"/>
      </colorScale>
    </cfRule>
  </conditionalFormatting>
  <conditionalFormatting sqref="F6:F43">
    <cfRule type="dataBar" priority="10">
      <dataBar>
        <cfvo type="min"/>
        <cfvo type="max"/>
        <color rgb="FF638EC6"/>
      </dataBar>
      <extLst>
        <ext xmlns:x14="http://schemas.microsoft.com/office/spreadsheetml/2009/9/main" uri="{B025F937-C7B1-47D3-B67F-A62EFF666E3E}">
          <x14:id>{286BDA8E-1AA2-4D61-95A0-8BC96B52288A}</x14:id>
        </ext>
      </extLst>
    </cfRule>
  </conditionalFormatting>
  <conditionalFormatting sqref="J6:J43">
    <cfRule type="dataBar" priority="9">
      <dataBar>
        <cfvo type="min"/>
        <cfvo type="max"/>
        <color rgb="FF638EC6"/>
      </dataBar>
      <extLst>
        <ext xmlns:x14="http://schemas.microsoft.com/office/spreadsheetml/2009/9/main" uri="{B025F937-C7B1-47D3-B67F-A62EFF666E3E}">
          <x14:id>{C76ED96B-4C3A-47C5-9A51-16E87DF73D38}</x14:id>
        </ext>
      </extLst>
    </cfRule>
  </conditionalFormatting>
  <conditionalFormatting sqref="N6:N43">
    <cfRule type="dataBar" priority="8">
      <dataBar>
        <cfvo type="min"/>
        <cfvo type="max"/>
        <color rgb="FF638EC6"/>
      </dataBar>
      <extLst>
        <ext xmlns:x14="http://schemas.microsoft.com/office/spreadsheetml/2009/9/main" uri="{B025F937-C7B1-47D3-B67F-A62EFF666E3E}">
          <x14:id>{F8A6990F-B195-4949-A52D-92694E13C563}</x14:id>
        </ext>
      </extLst>
    </cfRule>
  </conditionalFormatting>
  <conditionalFormatting sqref="F47:F67">
    <cfRule type="dataBar" priority="7">
      <dataBar>
        <cfvo type="min"/>
        <cfvo type="max"/>
        <color rgb="FF638EC6"/>
      </dataBar>
      <extLst>
        <ext xmlns:x14="http://schemas.microsoft.com/office/spreadsheetml/2009/9/main" uri="{B025F937-C7B1-47D3-B67F-A62EFF666E3E}">
          <x14:id>{82F130B0-E756-45A1-9830-897AF2C3F35A}</x14:id>
        </ext>
      </extLst>
    </cfRule>
  </conditionalFormatting>
  <conditionalFormatting sqref="J47:J67">
    <cfRule type="dataBar" priority="6">
      <dataBar>
        <cfvo type="min"/>
        <cfvo type="max"/>
        <color rgb="FF638EC6"/>
      </dataBar>
      <extLst>
        <ext xmlns:x14="http://schemas.microsoft.com/office/spreadsheetml/2009/9/main" uri="{B025F937-C7B1-47D3-B67F-A62EFF666E3E}">
          <x14:id>{9C8D6CE9-B33A-4B5B-96FA-3745CD40772E}</x14:id>
        </ext>
      </extLst>
    </cfRule>
  </conditionalFormatting>
  <conditionalFormatting sqref="N47:N67">
    <cfRule type="dataBar" priority="5">
      <dataBar>
        <cfvo type="min"/>
        <cfvo type="max"/>
        <color rgb="FF638EC6"/>
      </dataBar>
      <extLst>
        <ext xmlns:x14="http://schemas.microsoft.com/office/spreadsheetml/2009/9/main" uri="{B025F937-C7B1-47D3-B67F-A62EFF666E3E}">
          <x14:id>{3467C59F-12AF-4C9B-A40A-9F3157EB2B90}</x14:id>
        </ext>
      </extLst>
    </cfRule>
  </conditionalFormatting>
  <conditionalFormatting sqref="P94">
    <cfRule type="dataBar" priority="2">
      <dataBar>
        <cfvo type="min"/>
        <cfvo type="max"/>
        <color rgb="FF638EC6"/>
      </dataBar>
      <extLst>
        <ext xmlns:x14="http://schemas.microsoft.com/office/spreadsheetml/2009/9/main" uri="{B025F937-C7B1-47D3-B67F-A62EFF666E3E}">
          <x14:id>{CDD08EDF-01F9-4CFC-8413-92906A542D8C}</x14:id>
        </ext>
      </extLst>
    </cfRule>
  </conditionalFormatting>
  <conditionalFormatting sqref="P88:P93">
    <cfRule type="dataBar" priority="1">
      <dataBar>
        <cfvo type="min"/>
        <cfvo type="max"/>
        <color rgb="FF638EC6"/>
      </dataBar>
      <extLst>
        <ext xmlns:x14="http://schemas.microsoft.com/office/spreadsheetml/2009/9/main" uri="{B025F937-C7B1-47D3-B67F-A62EFF666E3E}">
          <x14:id>{F1F8884C-49A4-4DE8-8FFE-86511EE659FB}</x14:id>
        </ext>
      </extLst>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86BDA8E-1AA2-4D61-95A0-8BC96B52288A}">
            <x14:dataBar minLength="0" maxLength="100" border="1" negativeBarBorderColorSameAsPositive="0">
              <x14:cfvo type="autoMin"/>
              <x14:cfvo type="autoMax"/>
              <x14:borderColor rgb="FF638EC6"/>
              <x14:negativeFillColor rgb="FFFF0000"/>
              <x14:negativeBorderColor rgb="FFFF0000"/>
              <x14:axisColor rgb="FF000000"/>
            </x14:dataBar>
          </x14:cfRule>
          <xm:sqref>F6:F43</xm:sqref>
        </x14:conditionalFormatting>
        <x14:conditionalFormatting xmlns:xm="http://schemas.microsoft.com/office/excel/2006/main">
          <x14:cfRule type="dataBar" id="{C76ED96B-4C3A-47C5-9A51-16E87DF73D38}">
            <x14:dataBar minLength="0" maxLength="100" border="1" negativeBarBorderColorSameAsPositive="0">
              <x14:cfvo type="autoMin"/>
              <x14:cfvo type="autoMax"/>
              <x14:borderColor rgb="FF638EC6"/>
              <x14:negativeFillColor rgb="FFFF0000"/>
              <x14:negativeBorderColor rgb="FFFF0000"/>
              <x14:axisColor rgb="FF000000"/>
            </x14:dataBar>
          </x14:cfRule>
          <xm:sqref>J6:J43</xm:sqref>
        </x14:conditionalFormatting>
        <x14:conditionalFormatting xmlns:xm="http://schemas.microsoft.com/office/excel/2006/main">
          <x14:cfRule type="dataBar" id="{F8A6990F-B195-4949-A52D-92694E13C563}">
            <x14:dataBar minLength="0" maxLength="100" border="1" negativeBarBorderColorSameAsPositive="0">
              <x14:cfvo type="autoMin"/>
              <x14:cfvo type="autoMax"/>
              <x14:borderColor rgb="FF638EC6"/>
              <x14:negativeFillColor rgb="FFFF0000"/>
              <x14:negativeBorderColor rgb="FFFF0000"/>
              <x14:axisColor rgb="FF000000"/>
            </x14:dataBar>
          </x14:cfRule>
          <xm:sqref>N6:N43</xm:sqref>
        </x14:conditionalFormatting>
        <x14:conditionalFormatting xmlns:xm="http://schemas.microsoft.com/office/excel/2006/main">
          <x14:cfRule type="dataBar" id="{82F130B0-E756-45A1-9830-897AF2C3F35A}">
            <x14:dataBar minLength="0" maxLength="100" border="1" negativeBarBorderColorSameAsPositive="0">
              <x14:cfvo type="autoMin"/>
              <x14:cfvo type="autoMax"/>
              <x14:borderColor rgb="FF638EC6"/>
              <x14:negativeFillColor rgb="FFFF0000"/>
              <x14:negativeBorderColor rgb="FFFF0000"/>
              <x14:axisColor rgb="FF000000"/>
            </x14:dataBar>
          </x14:cfRule>
          <xm:sqref>F47:F67</xm:sqref>
        </x14:conditionalFormatting>
        <x14:conditionalFormatting xmlns:xm="http://schemas.microsoft.com/office/excel/2006/main">
          <x14:cfRule type="dataBar" id="{9C8D6CE9-B33A-4B5B-96FA-3745CD40772E}">
            <x14:dataBar minLength="0" maxLength="100" border="1" negativeBarBorderColorSameAsPositive="0">
              <x14:cfvo type="autoMin"/>
              <x14:cfvo type="autoMax"/>
              <x14:borderColor rgb="FF638EC6"/>
              <x14:negativeFillColor rgb="FFFF0000"/>
              <x14:negativeBorderColor rgb="FFFF0000"/>
              <x14:axisColor rgb="FF000000"/>
            </x14:dataBar>
          </x14:cfRule>
          <xm:sqref>J47:J67</xm:sqref>
        </x14:conditionalFormatting>
        <x14:conditionalFormatting xmlns:xm="http://schemas.microsoft.com/office/excel/2006/main">
          <x14:cfRule type="dataBar" id="{3467C59F-12AF-4C9B-A40A-9F3157EB2B90}">
            <x14:dataBar minLength="0" maxLength="100" border="1" negativeBarBorderColorSameAsPositive="0">
              <x14:cfvo type="autoMin"/>
              <x14:cfvo type="autoMax"/>
              <x14:borderColor rgb="FF638EC6"/>
              <x14:negativeFillColor rgb="FFFF0000"/>
              <x14:negativeBorderColor rgb="FFFF0000"/>
              <x14:axisColor rgb="FF000000"/>
            </x14:dataBar>
          </x14:cfRule>
          <xm:sqref>N47:N67</xm:sqref>
        </x14:conditionalFormatting>
        <x14:conditionalFormatting xmlns:xm="http://schemas.microsoft.com/office/excel/2006/main">
          <x14:cfRule type="dataBar" id="{CDD08EDF-01F9-4CFC-8413-92906A542D8C}">
            <x14:dataBar minLength="0" maxLength="100" border="1" negativeBarBorderColorSameAsPositive="0">
              <x14:cfvo type="autoMin"/>
              <x14:cfvo type="autoMax"/>
              <x14:borderColor rgb="FF638EC6"/>
              <x14:negativeFillColor rgb="FFFF0000"/>
              <x14:negativeBorderColor rgb="FFFF0000"/>
              <x14:axisColor rgb="FF000000"/>
            </x14:dataBar>
          </x14:cfRule>
          <xm:sqref>P94</xm:sqref>
        </x14:conditionalFormatting>
        <x14:conditionalFormatting xmlns:xm="http://schemas.microsoft.com/office/excel/2006/main">
          <x14:cfRule type="dataBar" id="{F1F8884C-49A4-4DE8-8FFE-86511EE659FB}">
            <x14:dataBar minLength="0" maxLength="100" border="1" negativeBarBorderColorSameAsPositive="0">
              <x14:cfvo type="autoMin"/>
              <x14:cfvo type="autoMax"/>
              <x14:borderColor rgb="FF638EC6"/>
              <x14:negativeFillColor rgb="FFFF0000"/>
              <x14:negativeBorderColor rgb="FFFF0000"/>
              <x14:axisColor rgb="FF000000"/>
            </x14:dataBar>
          </x14:cfRule>
          <xm:sqref>P88:P93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BM360"/>
  <sheetViews>
    <sheetView zoomScale="55" zoomScaleNormal="55" workbookViewId="0"/>
  </sheetViews>
  <sheetFormatPr defaultRowHeight="15" x14ac:dyDescent="0.25"/>
  <cols>
    <col min="1" max="1" width="9.140625" style="957"/>
    <col min="2" max="3" width="3.7109375" style="957" customWidth="1"/>
    <col min="4" max="4" width="33.42578125" style="957" bestFit="1" customWidth="1"/>
    <col min="5" max="5" width="12" style="957" bestFit="1" customWidth="1"/>
    <col min="6" max="6" width="22" style="957" bestFit="1" customWidth="1"/>
    <col min="7" max="9" width="12" style="957" bestFit="1" customWidth="1"/>
    <col min="10" max="10" width="56.140625" style="957" bestFit="1" customWidth="1"/>
    <col min="11" max="12" width="12" style="957" bestFit="1" customWidth="1"/>
    <col min="13" max="15" width="11.5703125" style="957" bestFit="1" customWidth="1"/>
    <col min="16" max="16" width="30.5703125" style="957" bestFit="1" customWidth="1"/>
    <col min="17" max="17" width="9.7109375" style="957" bestFit="1" customWidth="1"/>
    <col min="18" max="18" width="10.140625" style="957" bestFit="1" customWidth="1"/>
    <col min="19" max="21" width="9.7109375" style="957" bestFit="1" customWidth="1"/>
    <col min="22" max="22" width="57.28515625" style="957" bestFit="1" customWidth="1"/>
    <col min="23" max="23" width="9.7109375" style="957" bestFit="1" customWidth="1"/>
    <col min="24" max="27" width="10.140625" style="957" bestFit="1" customWidth="1"/>
    <col min="28" max="28" width="14.5703125" style="957" bestFit="1" customWidth="1"/>
    <col min="29" max="31" width="8.5703125" style="957" bestFit="1" customWidth="1"/>
    <col min="32" max="32" width="8.85546875" style="957" bestFit="1" customWidth="1"/>
    <col min="33" max="33" width="8.5703125" style="957" bestFit="1" customWidth="1"/>
    <col min="34" max="34" width="57.28515625" style="957" bestFit="1" customWidth="1"/>
    <col min="35" max="35" width="8.5703125" style="957" bestFit="1" customWidth="1"/>
    <col min="36" max="36" width="8.85546875" style="957" bestFit="1" customWidth="1"/>
    <col min="37" max="38" width="8.5703125" style="957" bestFit="1" customWidth="1"/>
    <col min="39" max="39" width="8.140625" style="957" bestFit="1" customWidth="1"/>
    <col min="40" max="40" width="8.42578125" style="957" customWidth="1"/>
    <col min="41" max="41" width="3.7109375" style="957" customWidth="1"/>
    <col min="42" max="43" width="7.28515625" style="957" bestFit="1" customWidth="1"/>
    <col min="44" max="44" width="17" style="957" bestFit="1" customWidth="1"/>
    <col min="45" max="45" width="7.28515625" style="957" bestFit="1" customWidth="1"/>
    <col min="46" max="49" width="5.85546875" style="957" bestFit="1" customWidth="1"/>
    <col min="50" max="50" width="49.42578125" style="957" bestFit="1" customWidth="1"/>
    <col min="51" max="51" width="7.28515625" style="957" bestFit="1" customWidth="1"/>
    <col min="52" max="16384" width="9.140625" style="957"/>
  </cols>
  <sheetData>
    <row r="3" spans="2:50" ht="26.25" x14ac:dyDescent="0.25">
      <c r="B3" s="958"/>
      <c r="C3" s="2007" t="s">
        <v>370</v>
      </c>
      <c r="D3" s="2007"/>
      <c r="E3" s="2007"/>
      <c r="F3" s="2007"/>
      <c r="G3" s="2007"/>
      <c r="H3" s="2007"/>
      <c r="I3" s="2007"/>
      <c r="J3" s="959"/>
      <c r="K3" s="959"/>
      <c r="L3" s="959"/>
      <c r="M3" s="959"/>
      <c r="N3" s="959"/>
      <c r="O3" s="959"/>
      <c r="P3" s="959"/>
      <c r="Q3" s="959"/>
      <c r="R3" s="959"/>
      <c r="S3" s="959"/>
      <c r="T3" s="959"/>
      <c r="U3" s="959"/>
      <c r="V3" s="959"/>
      <c r="W3" s="959"/>
      <c r="X3" s="959"/>
      <c r="Y3" s="959"/>
      <c r="Z3" s="959"/>
      <c r="AA3" s="959"/>
      <c r="AB3" s="959"/>
      <c r="AC3" s="959"/>
      <c r="AD3" s="959"/>
      <c r="AE3" s="959"/>
      <c r="AF3" s="959"/>
      <c r="AG3" s="959"/>
      <c r="AH3" s="959"/>
      <c r="AI3" s="959"/>
      <c r="AJ3" s="959"/>
      <c r="AK3" s="959"/>
      <c r="AL3" s="959"/>
      <c r="AM3" s="959"/>
      <c r="AN3" s="959"/>
      <c r="AO3" s="959"/>
      <c r="AP3" s="346"/>
      <c r="AQ3" s="960"/>
      <c r="AR3" s="960"/>
      <c r="AS3" s="960"/>
      <c r="AT3" s="960"/>
      <c r="AU3" s="346"/>
      <c r="AV3" s="346"/>
      <c r="AW3" s="346"/>
      <c r="AX3" s="346"/>
    </row>
    <row r="4" spans="2:50" x14ac:dyDescent="0.25">
      <c r="B4" s="958"/>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960"/>
      <c r="AR4" s="960"/>
      <c r="AS4" s="960"/>
      <c r="AT4" s="960"/>
      <c r="AU4" s="346"/>
      <c r="AV4" s="346"/>
      <c r="AW4" s="346"/>
      <c r="AX4" s="346"/>
    </row>
    <row r="5" spans="2:50" x14ac:dyDescent="0.25">
      <c r="B5" s="958"/>
      <c r="AQ5" s="513"/>
      <c r="AR5" s="513"/>
      <c r="AS5" s="513"/>
      <c r="AT5" s="513"/>
    </row>
    <row r="6" spans="2:50" ht="15.75" thickBot="1" x14ac:dyDescent="0.3">
      <c r="B6" s="958"/>
      <c r="AQ6" s="513"/>
      <c r="AR6" s="513"/>
      <c r="AS6" s="513"/>
      <c r="AT6" s="513"/>
    </row>
    <row r="7" spans="2:50" ht="15.75" thickBot="1" x14ac:dyDescent="0.3">
      <c r="B7" s="958"/>
      <c r="D7" s="961" t="s">
        <v>187</v>
      </c>
      <c r="E7" s="962">
        <v>0.03</v>
      </c>
      <c r="F7" s="961" t="s">
        <v>188</v>
      </c>
      <c r="G7" s="963">
        <v>13</v>
      </c>
      <c r="H7" s="964" t="s">
        <v>197</v>
      </c>
      <c r="AQ7" s="513"/>
      <c r="AR7" s="513"/>
      <c r="AS7" s="513"/>
      <c r="AT7" s="513"/>
    </row>
    <row r="8" spans="2:50" x14ac:dyDescent="0.25">
      <c r="B8" s="958"/>
      <c r="AQ8" s="513"/>
      <c r="AR8" s="513"/>
      <c r="AS8" s="513"/>
      <c r="AT8" s="513"/>
    </row>
    <row r="9" spans="2:50" x14ac:dyDescent="0.25">
      <c r="B9" s="958"/>
      <c r="D9" s="2006" t="s">
        <v>372</v>
      </c>
      <c r="E9" s="2006"/>
      <c r="F9" s="2006"/>
      <c r="G9" s="2006"/>
      <c r="H9" s="2006"/>
      <c r="AQ9" s="513"/>
      <c r="AR9" s="513"/>
      <c r="AS9" s="513"/>
      <c r="AT9" s="513"/>
    </row>
    <row r="10" spans="2:50" x14ac:dyDescent="0.25">
      <c r="B10" s="958"/>
      <c r="D10" s="2006"/>
      <c r="E10" s="2006"/>
      <c r="F10" s="2006"/>
      <c r="G10" s="2006"/>
      <c r="H10" s="2006"/>
      <c r="AQ10" s="513"/>
      <c r="AR10" s="513"/>
      <c r="AS10" s="513"/>
      <c r="AT10" s="513"/>
    </row>
    <row r="11" spans="2:50" ht="15.75" thickBot="1" x14ac:dyDescent="0.3">
      <c r="B11" s="958"/>
      <c r="F11" s="965"/>
      <c r="AQ11" s="513"/>
      <c r="AR11" s="513"/>
      <c r="AS11" s="513"/>
      <c r="AT11" s="513"/>
    </row>
    <row r="12" spans="2:50" ht="15.75" thickBot="1" x14ac:dyDescent="0.3">
      <c r="B12" s="958"/>
      <c r="D12" s="2023" t="s">
        <v>448</v>
      </c>
      <c r="E12" s="2024"/>
      <c r="F12" s="2024"/>
      <c r="G12" s="2024"/>
      <c r="H12" s="2025"/>
      <c r="AQ12" s="513"/>
      <c r="AR12" s="513"/>
      <c r="AS12" s="513"/>
      <c r="AT12" s="513"/>
    </row>
    <row r="13" spans="2:50" ht="15.75" thickBot="1" x14ac:dyDescent="0.3">
      <c r="B13" s="958"/>
      <c r="D13" s="966"/>
      <c r="E13" s="967">
        <v>2010</v>
      </c>
      <c r="F13" s="968">
        <v>2020</v>
      </c>
      <c r="G13" s="968">
        <v>2030</v>
      </c>
      <c r="H13" s="969">
        <v>2050</v>
      </c>
      <c r="AQ13" s="513"/>
      <c r="AR13" s="513"/>
      <c r="AS13" s="513"/>
      <c r="AT13" s="513"/>
    </row>
    <row r="14" spans="2:50" x14ac:dyDescent="0.25">
      <c r="B14" s="958"/>
      <c r="D14" s="966"/>
      <c r="E14" s="968" t="s">
        <v>385</v>
      </c>
      <c r="F14" s="968" t="str">
        <f>E14</f>
        <v>MDKK/year</v>
      </c>
      <c r="G14" s="968" t="str">
        <f>F14</f>
        <v>MDKK/year</v>
      </c>
      <c r="H14" s="969" t="str">
        <f>G14</f>
        <v>MDKK/year</v>
      </c>
      <c r="AQ14" s="513"/>
      <c r="AR14" s="513"/>
      <c r="AS14" s="513"/>
      <c r="AT14" s="513"/>
    </row>
    <row r="15" spans="2:50" x14ac:dyDescent="0.25">
      <c r="B15" s="958"/>
      <c r="D15" s="970" t="s">
        <v>378</v>
      </c>
      <c r="E15" s="1069">
        <f>AI89</f>
        <v>21534.018775149314</v>
      </c>
      <c r="F15" s="1069">
        <f>AJ89</f>
        <v>24783.843552111088</v>
      </c>
      <c r="G15" s="1069">
        <f>AK89</f>
        <v>27997.000159972336</v>
      </c>
      <c r="H15" s="1070">
        <f>AL89</f>
        <v>28772.842779637947</v>
      </c>
      <c r="AQ15" s="513"/>
      <c r="AR15" s="513"/>
      <c r="AS15" s="513"/>
      <c r="AT15" s="513"/>
    </row>
    <row r="16" spans="2:50" x14ac:dyDescent="0.25">
      <c r="B16" s="958"/>
      <c r="D16" s="970" t="s">
        <v>379</v>
      </c>
      <c r="E16" s="1071">
        <f>W111</f>
        <v>18080.103794586856</v>
      </c>
      <c r="F16" s="1071">
        <f>X111</f>
        <v>20186.726750362533</v>
      </c>
      <c r="G16" s="1071">
        <f>Y111</f>
        <v>22685.454049581807</v>
      </c>
      <c r="H16" s="1072">
        <f>Z111</f>
        <v>23052.297218168904</v>
      </c>
      <c r="AQ16" s="513"/>
      <c r="AR16" s="513"/>
      <c r="AS16" s="513"/>
      <c r="AT16" s="513"/>
    </row>
    <row r="17" spans="2:46" x14ac:dyDescent="0.25">
      <c r="B17" s="958"/>
      <c r="D17" s="970" t="s">
        <v>380</v>
      </c>
      <c r="E17" s="1071">
        <f>K173+K174</f>
        <v>0</v>
      </c>
      <c r="F17" s="1071">
        <f>L173+L174</f>
        <v>0</v>
      </c>
      <c r="G17" s="1071">
        <f>M173+M174</f>
        <v>0</v>
      </c>
      <c r="H17" s="1072">
        <f>N173+N174</f>
        <v>0</v>
      </c>
      <c r="AQ17" s="513"/>
      <c r="AR17" s="513"/>
      <c r="AS17" s="513"/>
      <c r="AT17" s="513"/>
    </row>
    <row r="18" spans="2:46" x14ac:dyDescent="0.25">
      <c r="B18" s="958"/>
      <c r="D18" s="970" t="s">
        <v>381</v>
      </c>
      <c r="E18" s="1071">
        <f>AI211</f>
        <v>1818.3726049822578</v>
      </c>
      <c r="F18" s="1071">
        <f>AJ211</f>
        <v>1864.3457393967574</v>
      </c>
      <c r="G18" s="1071">
        <f>AK211</f>
        <v>1911.4822411085788</v>
      </c>
      <c r="H18" s="1072">
        <f>AL211</f>
        <v>1935.6616441353935</v>
      </c>
      <c r="AQ18" s="513"/>
      <c r="AR18" s="513"/>
      <c r="AS18" s="513"/>
      <c r="AT18" s="513"/>
    </row>
    <row r="19" spans="2:46" x14ac:dyDescent="0.25">
      <c r="B19" s="958"/>
      <c r="D19" s="970" t="s">
        <v>382</v>
      </c>
      <c r="E19" s="1071">
        <f>W226</f>
        <v>236.67224678722326</v>
      </c>
      <c r="F19" s="1071">
        <f>X226</f>
        <v>242.65592966053444</v>
      </c>
      <c r="G19" s="1071">
        <f>Y226</f>
        <v>248.79103185865375</v>
      </c>
      <c r="H19" s="1072">
        <f>Z226</f>
        <v>251.93812812740001</v>
      </c>
      <c r="AQ19" s="513"/>
      <c r="AR19" s="513"/>
      <c r="AS19" s="513"/>
      <c r="AT19" s="513"/>
    </row>
    <row r="20" spans="2:46" x14ac:dyDescent="0.25">
      <c r="B20" s="958"/>
      <c r="D20" s="970" t="s">
        <v>383</v>
      </c>
      <c r="E20" s="1071">
        <f>AI298</f>
        <v>8712.496775966405</v>
      </c>
      <c r="F20" s="1071">
        <f>AJ298</f>
        <v>8983.1375584511607</v>
      </c>
      <c r="G20" s="1071">
        <f>AK298</f>
        <v>9319.2182952649637</v>
      </c>
      <c r="H20" s="1072">
        <f>AL298</f>
        <v>9548.3301055486627</v>
      </c>
      <c r="AQ20" s="513"/>
      <c r="AR20" s="513"/>
      <c r="AS20" s="513"/>
      <c r="AT20" s="513"/>
    </row>
    <row r="21" spans="2:46" x14ac:dyDescent="0.25">
      <c r="B21" s="958"/>
      <c r="D21" s="970" t="s">
        <v>384</v>
      </c>
      <c r="E21" s="1071">
        <f>W314</f>
        <v>1133.9844108103064</v>
      </c>
      <c r="F21" s="1071">
        <f>X314</f>
        <v>1169.2099536321773</v>
      </c>
      <c r="G21" s="1071">
        <f>Y314</f>
        <v>1212.9529042604972</v>
      </c>
      <c r="H21" s="1072">
        <f>Z314</f>
        <v>1242.7731989331944</v>
      </c>
      <c r="AQ21" s="513"/>
      <c r="AR21" s="513"/>
      <c r="AS21" s="513"/>
      <c r="AT21" s="513"/>
    </row>
    <row r="22" spans="2:46" ht="15.75" thickBot="1" x14ac:dyDescent="0.3">
      <c r="B22" s="958"/>
      <c r="D22" s="971" t="s">
        <v>0</v>
      </c>
      <c r="E22" s="1073">
        <f>SUM(E15:E21)</f>
        <v>51515.648608282361</v>
      </c>
      <c r="F22" s="1073">
        <f>SUM(F15:F21)</f>
        <v>57229.919483614249</v>
      </c>
      <c r="G22" s="1073">
        <f>SUM(G15:G21)</f>
        <v>63374.898682046827</v>
      </c>
      <c r="H22" s="1074">
        <f>SUM(H15:H21)</f>
        <v>64803.843074551507</v>
      </c>
      <c r="AQ22" s="513"/>
      <c r="AR22" s="513"/>
      <c r="AS22" s="513"/>
      <c r="AT22" s="513"/>
    </row>
    <row r="23" spans="2:46" x14ac:dyDescent="0.25">
      <c r="B23" s="958"/>
      <c r="F23" s="965"/>
      <c r="AQ23" s="513"/>
      <c r="AR23" s="513"/>
      <c r="AS23" s="513"/>
      <c r="AT23" s="513"/>
    </row>
    <row r="24" spans="2:46" ht="15.75" thickBot="1" x14ac:dyDescent="0.3">
      <c r="B24" s="958"/>
      <c r="F24" s="965"/>
      <c r="AQ24" s="513"/>
      <c r="AR24" s="513"/>
      <c r="AS24" s="513"/>
      <c r="AT24" s="513"/>
    </row>
    <row r="25" spans="2:46" ht="15.75" thickBot="1" x14ac:dyDescent="0.3">
      <c r="B25" s="958"/>
      <c r="D25" s="2023" t="s">
        <v>449</v>
      </c>
      <c r="E25" s="2024"/>
      <c r="F25" s="2024"/>
      <c r="G25" s="2024"/>
      <c r="H25" s="2025"/>
      <c r="AQ25" s="513"/>
      <c r="AR25" s="513"/>
      <c r="AS25" s="513"/>
      <c r="AT25" s="513"/>
    </row>
    <row r="26" spans="2:46" ht="15.75" thickBot="1" x14ac:dyDescent="0.3">
      <c r="B26" s="958"/>
      <c r="D26" s="966"/>
      <c r="E26" s="967">
        <v>2010</v>
      </c>
      <c r="F26" s="968">
        <v>2020</v>
      </c>
      <c r="G26" s="968">
        <v>2030</v>
      </c>
      <c r="H26" s="969">
        <v>2050</v>
      </c>
      <c r="AQ26" s="513"/>
      <c r="AR26" s="513"/>
      <c r="AS26" s="513"/>
      <c r="AT26" s="513"/>
    </row>
    <row r="27" spans="2:46" x14ac:dyDescent="0.25">
      <c r="B27" s="958"/>
      <c r="D27" s="966"/>
      <c r="E27" s="968" t="s">
        <v>391</v>
      </c>
      <c r="F27" s="968" t="s">
        <v>391</v>
      </c>
      <c r="G27" s="968" t="str">
        <f>F27</f>
        <v>MDKK</v>
      </c>
      <c r="H27" s="969" t="str">
        <f>G27</f>
        <v>MDKK</v>
      </c>
      <c r="AQ27" s="513"/>
      <c r="AR27" s="513"/>
      <c r="AS27" s="513"/>
      <c r="AT27" s="513"/>
    </row>
    <row r="28" spans="2:46" x14ac:dyDescent="0.25">
      <c r="B28" s="958"/>
      <c r="D28" s="970" t="s">
        <v>378</v>
      </c>
      <c r="E28" s="1069">
        <f>W89</f>
        <v>229013.32782577132</v>
      </c>
      <c r="F28" s="1069">
        <f>X89</f>
        <v>263575.06917065883</v>
      </c>
      <c r="G28" s="1069">
        <f>Y89</f>
        <v>297746.84617499873</v>
      </c>
      <c r="H28" s="1070">
        <f>AA89</f>
        <v>314248.94938703167</v>
      </c>
      <c r="AQ28" s="513"/>
      <c r="AR28" s="513"/>
      <c r="AS28" s="513"/>
      <c r="AT28" s="513"/>
    </row>
    <row r="29" spans="2:46" x14ac:dyDescent="0.25">
      <c r="B29" s="958"/>
      <c r="D29" s="970" t="s">
        <v>379</v>
      </c>
      <c r="E29" s="1075">
        <f>W112</f>
        <v>7.8947823544758197E-2</v>
      </c>
      <c r="F29" s="1075">
        <f>X112</f>
        <v>7.6588149303650904E-2</v>
      </c>
      <c r="G29" s="1075">
        <f>Y112</f>
        <v>7.6190409205035142E-2</v>
      </c>
      <c r="H29" s="1076">
        <f>AA112</f>
        <v>7.4524164463992473E-2</v>
      </c>
      <c r="AQ29" s="513"/>
      <c r="AR29" s="513"/>
      <c r="AS29" s="513"/>
      <c r="AT29" s="513"/>
    </row>
    <row r="30" spans="2:46" x14ac:dyDescent="0.25">
      <c r="B30" s="958"/>
      <c r="D30" s="970" t="s">
        <v>381</v>
      </c>
      <c r="E30" s="1071">
        <f>W211</f>
        <v>19338.311433756804</v>
      </c>
      <c r="F30" s="1071">
        <f>X211</f>
        <v>19827.23366479879</v>
      </c>
      <c r="G30" s="1071">
        <f>Y211</f>
        <v>20328.528255084322</v>
      </c>
      <c r="H30" s="1072">
        <f>AA211</f>
        <v>20842.821997448988</v>
      </c>
      <c r="AQ30" s="513"/>
      <c r="AR30" s="513"/>
      <c r="AS30" s="513"/>
      <c r="AT30" s="513"/>
    </row>
    <row r="31" spans="2:46" x14ac:dyDescent="0.25">
      <c r="B31" s="958"/>
      <c r="D31" s="970" t="s">
        <v>382</v>
      </c>
      <c r="E31" s="1075">
        <f>W227</f>
        <v>1.2238516666666669E-2</v>
      </c>
      <c r="F31" s="1075">
        <f>X227</f>
        <v>1.2238516666666668E-2</v>
      </c>
      <c r="G31" s="1075">
        <f>Y227</f>
        <v>1.2238516666666668E-2</v>
      </c>
      <c r="H31" s="1076">
        <f>AA227</f>
        <v>1.2238516666666669E-2</v>
      </c>
      <c r="AQ31" s="513"/>
      <c r="AR31" s="513"/>
      <c r="AS31" s="513"/>
      <c r="AT31" s="513"/>
    </row>
    <row r="32" spans="2:46" x14ac:dyDescent="0.25">
      <c r="B32" s="958"/>
      <c r="D32" s="970" t="s">
        <v>383</v>
      </c>
      <c r="E32" s="1071">
        <f>W298</f>
        <v>92657.014056194676</v>
      </c>
      <c r="F32" s="1071">
        <f>X298</f>
        <v>95535.266689359996</v>
      </c>
      <c r="G32" s="1071">
        <f>Y298</f>
        <v>99109.470313844969</v>
      </c>
      <c r="H32" s="1072">
        <f>AA298</f>
        <v>103982.65805136172</v>
      </c>
      <c r="AQ32" s="513"/>
      <c r="AR32" s="513"/>
      <c r="AS32" s="513"/>
      <c r="AT32" s="513"/>
    </row>
    <row r="33" spans="2:46" ht="15.75" thickBot="1" x14ac:dyDescent="0.3">
      <c r="B33" s="958"/>
      <c r="D33" s="970" t="s">
        <v>384</v>
      </c>
      <c r="E33" s="1075">
        <f>W315</f>
        <v>1.2238516666666669E-2</v>
      </c>
      <c r="F33" s="1075">
        <f>X315</f>
        <v>1.2238516666666668E-2</v>
      </c>
      <c r="G33" s="1075">
        <f>Y315</f>
        <v>1.2238516666666669E-2</v>
      </c>
      <c r="H33" s="1076">
        <f>AA315</f>
        <v>1.2238516666666669E-2</v>
      </c>
      <c r="AQ33" s="513"/>
      <c r="AR33" s="513"/>
      <c r="AS33" s="513"/>
      <c r="AT33" s="513"/>
    </row>
    <row r="34" spans="2:46" ht="15.75" thickBot="1" x14ac:dyDescent="0.3">
      <c r="B34" s="958"/>
      <c r="D34" s="972" t="s">
        <v>389</v>
      </c>
      <c r="E34" s="1077">
        <f>SUM(E28:E33)</f>
        <v>341008.75674057967</v>
      </c>
      <c r="F34" s="1077">
        <f>SUM(F28:F33)</f>
        <v>378937.67059000017</v>
      </c>
      <c r="G34" s="1077">
        <f>SUM(G28:G33)</f>
        <v>417184.94541137049</v>
      </c>
      <c r="H34" s="1078">
        <f>SUM(H28:H33)</f>
        <v>439074.52843704016</v>
      </c>
      <c r="AQ34" s="513"/>
      <c r="AR34" s="513"/>
      <c r="AS34" s="513"/>
      <c r="AT34" s="513"/>
    </row>
    <row r="35" spans="2:46" ht="15.75" thickBot="1" x14ac:dyDescent="0.3">
      <c r="B35" s="958"/>
      <c r="D35" s="973" t="s">
        <v>390</v>
      </c>
      <c r="E35" s="974">
        <f>(E28*E29+E30*E31+E32*E33)/E34</f>
        <v>5.7038888496876439E-2</v>
      </c>
      <c r="F35" s="974">
        <f>(F28*F29+F30*F31+F32*F33)/F34</f>
        <v>5.6997744774296429E-2</v>
      </c>
      <c r="G35" s="974">
        <f>(G28*G29+G30*G31+G32*G33)/G34</f>
        <v>5.7881278438488011E-2</v>
      </c>
      <c r="H35" s="975">
        <f>(H28*H29+H30*H31+H32*H33)/H34</f>
        <v>5.6816821493973789E-2</v>
      </c>
      <c r="AQ35" s="513"/>
      <c r="AR35" s="513"/>
      <c r="AS35" s="513"/>
      <c r="AT35" s="513"/>
    </row>
    <row r="36" spans="2:46" x14ac:dyDescent="0.25">
      <c r="B36" s="958"/>
      <c r="F36" s="965"/>
      <c r="AQ36" s="513"/>
      <c r="AR36" s="513"/>
      <c r="AS36" s="513"/>
      <c r="AT36" s="513"/>
    </row>
    <row r="37" spans="2:46" ht="15.75" thickBot="1" x14ac:dyDescent="0.3">
      <c r="B37" s="958"/>
      <c r="F37" s="965"/>
      <c r="AQ37" s="513"/>
      <c r="AR37" s="513"/>
      <c r="AS37" s="513"/>
      <c r="AT37" s="513"/>
    </row>
    <row r="38" spans="2:46" ht="15.75" thickBot="1" x14ac:dyDescent="0.3">
      <c r="B38" s="958"/>
      <c r="D38" s="972" t="s">
        <v>380</v>
      </c>
      <c r="E38" s="1079">
        <f>K170++K171</f>
        <v>0</v>
      </c>
      <c r="F38" s="1079">
        <f>L170++L171</f>
        <v>0</v>
      </c>
      <c r="G38" s="1079">
        <f>M170++M171</f>
        <v>0</v>
      </c>
      <c r="H38" s="1080">
        <f>O170++O171</f>
        <v>0</v>
      </c>
      <c r="AQ38" s="513"/>
      <c r="AR38" s="513"/>
      <c r="AS38" s="513"/>
      <c r="AT38" s="513"/>
    </row>
    <row r="39" spans="2:46" x14ac:dyDescent="0.25">
      <c r="B39" s="958"/>
      <c r="F39" s="965"/>
      <c r="AQ39" s="513"/>
      <c r="AR39" s="513"/>
      <c r="AS39" s="513"/>
      <c r="AT39" s="513"/>
    </row>
    <row r="40" spans="2:46" x14ac:dyDescent="0.25">
      <c r="B40" s="958"/>
      <c r="C40" s="958"/>
      <c r="D40" s="958"/>
      <c r="E40" s="958"/>
      <c r="F40" s="976"/>
      <c r="G40" s="958"/>
      <c r="H40" s="958"/>
      <c r="I40" s="958"/>
      <c r="J40" s="346"/>
      <c r="AQ40" s="513"/>
      <c r="AR40" s="513"/>
      <c r="AS40" s="513"/>
      <c r="AT40" s="513"/>
    </row>
    <row r="41" spans="2:46" x14ac:dyDescent="0.25">
      <c r="F41" s="965"/>
      <c r="AQ41" s="513"/>
      <c r="AR41" s="513"/>
      <c r="AS41" s="513"/>
      <c r="AT41" s="513"/>
    </row>
    <row r="42" spans="2:46" ht="15.75" thickBot="1" x14ac:dyDescent="0.3">
      <c r="F42" s="965"/>
      <c r="AQ42" s="513"/>
      <c r="AR42" s="513"/>
      <c r="AS42" s="513"/>
      <c r="AT42" s="513"/>
    </row>
    <row r="43" spans="2:46" ht="21.75" thickBot="1" x14ac:dyDescent="0.3">
      <c r="B43" s="977"/>
      <c r="C43" s="978"/>
      <c r="D43" s="2011" t="s">
        <v>447</v>
      </c>
      <c r="E43" s="2011"/>
      <c r="F43" s="2011"/>
      <c r="G43" s="2011"/>
      <c r="H43" s="2011"/>
      <c r="I43" s="2011"/>
      <c r="J43" s="2011"/>
      <c r="K43" s="2011"/>
      <c r="L43" s="2011"/>
      <c r="M43" s="2011"/>
      <c r="N43" s="2011"/>
      <c r="O43" s="2011"/>
      <c r="P43" s="2011"/>
      <c r="Q43" s="2011"/>
      <c r="R43" s="2011"/>
      <c r="S43" s="2011"/>
      <c r="T43" s="2011"/>
      <c r="U43" s="2011"/>
      <c r="V43" s="2011"/>
      <c r="W43" s="2011"/>
      <c r="X43" s="2011"/>
      <c r="Y43" s="2011"/>
      <c r="Z43" s="2011"/>
      <c r="AA43" s="2011"/>
      <c r="AB43" s="2011"/>
      <c r="AC43" s="2011"/>
      <c r="AD43" s="2011"/>
      <c r="AE43" s="2011"/>
      <c r="AF43" s="2011"/>
      <c r="AG43" s="2011"/>
      <c r="AH43" s="2011"/>
      <c r="AI43" s="2011"/>
      <c r="AJ43" s="2011"/>
      <c r="AK43" s="2011"/>
      <c r="AL43" s="2011"/>
      <c r="AM43" s="2011"/>
      <c r="AN43" s="979"/>
      <c r="AO43" s="980"/>
      <c r="AQ43" s="513"/>
      <c r="AR43" s="513"/>
      <c r="AS43" s="513"/>
      <c r="AT43" s="513"/>
    </row>
    <row r="44" spans="2:46" ht="15.75" thickBot="1" x14ac:dyDescent="0.3">
      <c r="B44" s="981"/>
      <c r="C44" s="1124"/>
      <c r="D44" s="1124"/>
      <c r="E44" s="1124"/>
      <c r="F44" s="1130"/>
      <c r="G44" s="1124"/>
      <c r="H44" s="1124"/>
      <c r="I44" s="1124"/>
      <c r="J44" s="1124"/>
      <c r="K44" s="1124"/>
      <c r="L44" s="1124"/>
      <c r="M44" s="1124"/>
      <c r="N44" s="1124"/>
      <c r="O44" s="1124"/>
      <c r="P44" s="1124"/>
      <c r="Q44" s="1124"/>
      <c r="R44" s="1124"/>
      <c r="S44" s="1124"/>
      <c r="T44" s="1124"/>
      <c r="U44" s="1124"/>
      <c r="V44" s="1124"/>
      <c r="W44" s="1124"/>
      <c r="X44" s="1124"/>
      <c r="Y44" s="1124"/>
      <c r="Z44" s="1124"/>
      <c r="AA44" s="1124"/>
      <c r="AB44" s="1124"/>
      <c r="AC44" s="1124"/>
      <c r="AD44" s="1124"/>
      <c r="AE44" s="1124"/>
      <c r="AF44" s="1124"/>
      <c r="AG44" s="1124"/>
      <c r="AH44" s="1124"/>
      <c r="AI44" s="1124"/>
      <c r="AJ44" s="1124"/>
      <c r="AK44" s="1124"/>
      <c r="AL44" s="1124"/>
      <c r="AM44" s="1124"/>
      <c r="AN44" s="1124"/>
      <c r="AO44" s="981"/>
      <c r="AQ44" s="513"/>
      <c r="AR44" s="513"/>
      <c r="AS44" s="513"/>
      <c r="AT44" s="513"/>
    </row>
    <row r="45" spans="2:46" ht="15.75" thickBot="1" x14ac:dyDescent="0.3">
      <c r="B45" s="981"/>
      <c r="C45" s="1124"/>
      <c r="D45" s="2014" t="s">
        <v>45</v>
      </c>
      <c r="E45" s="2015"/>
      <c r="F45" s="2015"/>
      <c r="G45" s="2015"/>
      <c r="H45" s="2015"/>
      <c r="I45" s="2016"/>
      <c r="J45" s="2008" t="s">
        <v>226</v>
      </c>
      <c r="K45" s="2009"/>
      <c r="L45" s="2009"/>
      <c r="M45" s="2009"/>
      <c r="N45" s="2009"/>
      <c r="O45" s="2010"/>
      <c r="P45" s="1124"/>
      <c r="Q45" s="1124"/>
      <c r="R45" s="1124"/>
      <c r="S45" s="1124"/>
      <c r="T45" s="1124"/>
      <c r="U45" s="1124"/>
      <c r="V45" s="1124"/>
      <c r="W45" s="1124"/>
      <c r="X45" s="1124"/>
      <c r="Y45" s="1124"/>
      <c r="Z45" s="1124"/>
      <c r="AA45" s="1124"/>
      <c r="AB45" s="1124"/>
      <c r="AC45" s="1124"/>
      <c r="AD45" s="1124"/>
      <c r="AE45" s="1124"/>
      <c r="AF45" s="1124"/>
      <c r="AG45" s="1124"/>
      <c r="AH45" s="1124"/>
      <c r="AI45" s="1124"/>
      <c r="AJ45" s="1124"/>
      <c r="AK45" s="1124"/>
      <c r="AL45" s="1124"/>
      <c r="AM45" s="1124"/>
      <c r="AN45" s="1124"/>
      <c r="AO45" s="981"/>
      <c r="AQ45" s="513"/>
      <c r="AR45" s="513"/>
      <c r="AS45" s="513"/>
      <c r="AT45" s="513"/>
    </row>
    <row r="46" spans="2:46" x14ac:dyDescent="0.25">
      <c r="B46" s="981"/>
      <c r="C46" s="1124"/>
      <c r="D46" s="1124"/>
      <c r="E46" s="1124"/>
      <c r="F46" s="1130"/>
      <c r="G46" s="1124"/>
      <c r="H46" s="1124"/>
      <c r="I46" s="1124"/>
      <c r="J46" s="1124"/>
      <c r="K46" s="1124"/>
      <c r="L46" s="1124"/>
      <c r="M46" s="1124"/>
      <c r="N46" s="1124"/>
      <c r="O46" s="1124"/>
      <c r="P46" s="1124"/>
      <c r="Q46" s="1124"/>
      <c r="R46" s="1124"/>
      <c r="S46" s="1124"/>
      <c r="T46" s="1124"/>
      <c r="U46" s="1124"/>
      <c r="V46" s="1124"/>
      <c r="W46" s="1124"/>
      <c r="X46" s="1124"/>
      <c r="Y46" s="1124"/>
      <c r="Z46" s="1124"/>
      <c r="AA46" s="1124"/>
      <c r="AB46" s="1124"/>
      <c r="AC46" s="1124"/>
      <c r="AD46" s="1124"/>
      <c r="AE46" s="1124"/>
      <c r="AF46" s="1124"/>
      <c r="AG46" s="1124"/>
      <c r="AH46" s="1124"/>
      <c r="AI46" s="1124"/>
      <c r="AJ46" s="1124"/>
      <c r="AK46" s="1124"/>
      <c r="AL46" s="1124"/>
      <c r="AM46" s="1124"/>
      <c r="AN46" s="1124"/>
      <c r="AO46" s="981"/>
      <c r="AQ46" s="513"/>
      <c r="AR46" s="513"/>
      <c r="AS46" s="513"/>
      <c r="AT46" s="513"/>
    </row>
    <row r="47" spans="2:46" ht="15.75" thickBot="1" x14ac:dyDescent="0.3">
      <c r="B47" s="981"/>
      <c r="C47" s="1124"/>
      <c r="D47" s="1124"/>
      <c r="E47" s="1124"/>
      <c r="F47" s="1130"/>
      <c r="G47" s="1124"/>
      <c r="H47" s="1124"/>
      <c r="I47" s="1124"/>
      <c r="J47" s="1124"/>
      <c r="K47" s="1124"/>
      <c r="L47" s="1124"/>
      <c r="M47" s="1124"/>
      <c r="N47" s="1124"/>
      <c r="O47" s="1124"/>
      <c r="P47" s="1124"/>
      <c r="Q47" s="1124"/>
      <c r="R47" s="1124"/>
      <c r="S47" s="1124"/>
      <c r="T47" s="1124"/>
      <c r="U47" s="1124"/>
      <c r="V47" s="1124"/>
      <c r="W47" s="1124"/>
      <c r="X47" s="1124"/>
      <c r="Y47" s="1124"/>
      <c r="Z47" s="1124"/>
      <c r="AA47" s="1124"/>
      <c r="AB47" s="1124"/>
      <c r="AC47" s="1124"/>
      <c r="AD47" s="1124"/>
      <c r="AE47" s="1124"/>
      <c r="AF47" s="1124"/>
      <c r="AG47" s="1124"/>
      <c r="AH47" s="1124"/>
      <c r="AI47" s="1124"/>
      <c r="AJ47" s="1124"/>
      <c r="AK47" s="1124"/>
      <c r="AL47" s="1124"/>
      <c r="AM47" s="1124"/>
      <c r="AN47" s="1124"/>
      <c r="AO47" s="981"/>
      <c r="AQ47" s="513"/>
      <c r="AR47" s="513"/>
      <c r="AS47" s="513"/>
      <c r="AT47" s="513"/>
    </row>
    <row r="48" spans="2:46" x14ac:dyDescent="0.25">
      <c r="B48" s="981"/>
      <c r="C48" s="1124"/>
      <c r="D48" s="2020" t="s">
        <v>371</v>
      </c>
      <c r="E48" s="2021"/>
      <c r="F48" s="2021"/>
      <c r="G48" s="2021"/>
      <c r="H48" s="2021"/>
      <c r="I48" s="2022"/>
      <c r="J48" s="2017" t="s">
        <v>371</v>
      </c>
      <c r="K48" s="2018"/>
      <c r="L48" s="2018"/>
      <c r="M48" s="2018"/>
      <c r="N48" s="2018"/>
      <c r="O48" s="2019"/>
      <c r="P48" s="1124"/>
      <c r="Q48" s="1124"/>
      <c r="R48" s="1124"/>
      <c r="S48" s="1124"/>
      <c r="T48" s="1124"/>
      <c r="U48" s="1124"/>
      <c r="V48" s="1124"/>
      <c r="W48" s="1124"/>
      <c r="X48" s="1124"/>
      <c r="Y48" s="1124"/>
      <c r="Z48" s="1124"/>
      <c r="AA48" s="1124"/>
      <c r="AB48" s="1124"/>
      <c r="AC48" s="1124"/>
      <c r="AD48" s="1124"/>
      <c r="AE48" s="1124"/>
      <c r="AF48" s="1124"/>
      <c r="AG48" s="1124"/>
      <c r="AH48" s="1124"/>
      <c r="AI48" s="1124"/>
      <c r="AJ48" s="1124"/>
      <c r="AK48" s="1124"/>
      <c r="AL48" s="1124"/>
      <c r="AM48" s="1124"/>
      <c r="AN48" s="1124"/>
      <c r="AO48" s="981"/>
      <c r="AQ48" s="513"/>
      <c r="AR48" s="513"/>
      <c r="AS48" s="513"/>
      <c r="AT48" s="513"/>
    </row>
    <row r="49" spans="2:46" ht="15.75" thickBot="1" x14ac:dyDescent="0.3">
      <c r="B49" s="981"/>
      <c r="C49" s="1124"/>
      <c r="D49" s="982" t="s">
        <v>45</v>
      </c>
      <c r="E49" s="983">
        <v>2010</v>
      </c>
      <c r="F49" s="983">
        <v>2020</v>
      </c>
      <c r="G49" s="983">
        <v>2030</v>
      </c>
      <c r="H49" s="983">
        <v>2040</v>
      </c>
      <c r="I49" s="984">
        <v>2050</v>
      </c>
      <c r="J49" s="985" t="s">
        <v>226</v>
      </c>
      <c r="K49" s="983">
        <v>2010</v>
      </c>
      <c r="L49" s="983">
        <v>2020</v>
      </c>
      <c r="M49" s="983">
        <v>2030</v>
      </c>
      <c r="N49" s="983">
        <v>2040</v>
      </c>
      <c r="O49" s="984">
        <v>2050</v>
      </c>
      <c r="P49" s="1124"/>
      <c r="Q49" s="1124"/>
      <c r="R49" s="1124"/>
      <c r="S49" s="1124"/>
      <c r="T49" s="1124"/>
      <c r="U49" s="1124"/>
      <c r="V49" s="1124"/>
      <c r="W49" s="1124"/>
      <c r="X49" s="1124"/>
      <c r="Y49" s="1124"/>
      <c r="Z49" s="1124"/>
      <c r="AA49" s="1124"/>
      <c r="AB49" s="1124"/>
      <c r="AC49" s="1124"/>
      <c r="AD49" s="1124"/>
      <c r="AE49" s="1124"/>
      <c r="AF49" s="1124"/>
      <c r="AG49" s="1124"/>
      <c r="AH49" s="1124"/>
      <c r="AI49" s="1124"/>
      <c r="AJ49" s="1124"/>
      <c r="AK49" s="1124"/>
      <c r="AL49" s="1124"/>
      <c r="AM49" s="1124"/>
      <c r="AN49" s="1124"/>
      <c r="AO49" s="981"/>
      <c r="AQ49" s="513"/>
      <c r="AR49" s="513"/>
      <c r="AS49" s="513"/>
      <c r="AT49" s="513"/>
    </row>
    <row r="50" spans="2:46" ht="15.75" x14ac:dyDescent="0.25">
      <c r="B50" s="981"/>
      <c r="C50" s="1124"/>
      <c r="D50" s="986"/>
      <c r="E50" s="1081"/>
      <c r="F50" s="1081"/>
      <c r="G50" s="1081"/>
      <c r="H50" s="1081"/>
      <c r="I50" s="1082"/>
      <c r="J50" s="988" t="str">
        <f>'Scenarios technology'!U7</f>
        <v>Battery electric vehicles</v>
      </c>
      <c r="K50" s="1089">
        <f>'Scenarios technology'!AR7+'Scenarios technology'!AR86</f>
        <v>0</v>
      </c>
      <c r="L50" s="1089">
        <f>'Scenarios technology'!AR147+'Scenarios technology'!AR226</f>
        <v>0</v>
      </c>
      <c r="M50" s="1089">
        <f>'Scenarios technology'!AR287+'Scenarios technology'!AR366</f>
        <v>0</v>
      </c>
      <c r="N50" s="1089">
        <f t="shared" ref="N50:N67" si="0">(O50-M50)/2+M50</f>
        <v>0</v>
      </c>
      <c r="O50" s="1090">
        <f>'Scenarios technology'!AR427+'Scenarios technology'!AR506</f>
        <v>0</v>
      </c>
      <c r="P50" s="1124"/>
      <c r="Q50" s="1124"/>
      <c r="R50" s="1124"/>
      <c r="S50" s="1124"/>
      <c r="T50" s="1124"/>
      <c r="U50" s="1124"/>
      <c r="V50" s="1124"/>
      <c r="W50" s="1124"/>
      <c r="X50" s="1124"/>
      <c r="Y50" s="1124"/>
      <c r="Z50" s="1124"/>
      <c r="AA50" s="1124"/>
      <c r="AB50" s="1124"/>
      <c r="AC50" s="1124"/>
      <c r="AD50" s="1124"/>
      <c r="AE50" s="1124"/>
      <c r="AF50" s="1124"/>
      <c r="AG50" s="1124"/>
      <c r="AH50" s="1124"/>
      <c r="AI50" s="1124"/>
      <c r="AJ50" s="1124"/>
      <c r="AK50" s="1124"/>
      <c r="AL50" s="1124"/>
      <c r="AM50" s="1124"/>
      <c r="AN50" s="1124"/>
      <c r="AO50" s="981"/>
      <c r="AQ50" s="513"/>
      <c r="AR50" s="513"/>
      <c r="AS50" s="513"/>
      <c r="AT50" s="513"/>
    </row>
    <row r="51" spans="2:46" ht="15.75" x14ac:dyDescent="0.25">
      <c r="B51" s="981"/>
      <c r="C51" s="1124"/>
      <c r="D51" s="986"/>
      <c r="E51" s="1081"/>
      <c r="F51" s="1081"/>
      <c r="G51" s="1081"/>
      <c r="H51" s="1081"/>
      <c r="I51" s="1082"/>
      <c r="J51" s="988" t="str">
        <f>'Scenarios technology'!U20</f>
        <v>Fuel cell hybrid vehicle Syn-methanol</v>
      </c>
      <c r="K51" s="1083">
        <f>'Scenarios technology'!AR20+'Scenarios technology'!AR99</f>
        <v>0</v>
      </c>
      <c r="L51" s="1083">
        <f>'Scenarios technology'!AR160+'Scenarios technology'!AR239</f>
        <v>0</v>
      </c>
      <c r="M51" s="1083">
        <f>'Scenarios technology'!AR300+'Scenarios technology'!AR379</f>
        <v>0</v>
      </c>
      <c r="N51" s="1083">
        <f t="shared" si="0"/>
        <v>0</v>
      </c>
      <c r="O51" s="1084">
        <f>'Scenarios technology'!AR440+'Scenarios technology'!AR519</f>
        <v>0</v>
      </c>
      <c r="P51" s="1124"/>
      <c r="Q51" s="1124"/>
      <c r="R51" s="1124"/>
      <c r="S51" s="1124"/>
      <c r="T51" s="1124"/>
      <c r="U51" s="1124"/>
      <c r="V51" s="1124"/>
      <c r="W51" s="1124"/>
      <c r="X51" s="1124"/>
      <c r="Y51" s="1124"/>
      <c r="Z51" s="1124"/>
      <c r="AA51" s="1124"/>
      <c r="AB51" s="1124"/>
      <c r="AC51" s="1124"/>
      <c r="AD51" s="1124"/>
      <c r="AE51" s="1124"/>
      <c r="AF51" s="1124"/>
      <c r="AG51" s="1124"/>
      <c r="AH51" s="1124"/>
      <c r="AI51" s="1124"/>
      <c r="AJ51" s="1124"/>
      <c r="AK51" s="1124"/>
      <c r="AL51" s="1124"/>
      <c r="AM51" s="1124"/>
      <c r="AN51" s="1124"/>
      <c r="AO51" s="981"/>
      <c r="AQ51" s="513"/>
      <c r="AR51" s="513"/>
      <c r="AS51" s="513"/>
      <c r="AT51" s="513"/>
    </row>
    <row r="52" spans="2:46" ht="15.75" x14ac:dyDescent="0.25">
      <c r="B52" s="981"/>
      <c r="C52" s="1124"/>
      <c r="D52" s="986"/>
      <c r="E52" s="1081"/>
      <c r="F52" s="1081"/>
      <c r="G52" s="1081"/>
      <c r="H52" s="1081"/>
      <c r="I52" s="1082"/>
      <c r="J52" s="988" t="str">
        <f>'Scenarios technology'!U21</f>
        <v>Plug-in fuel cell hybrid vehicle Electricity &amp; Syn-methanol</v>
      </c>
      <c r="K52" s="1083">
        <f>'Scenarios technology'!AR21+'Scenarios technology'!AR100</f>
        <v>0</v>
      </c>
      <c r="L52" s="1083">
        <f>'Scenarios technology'!AR161+'Scenarios technology'!AR240</f>
        <v>0</v>
      </c>
      <c r="M52" s="1083">
        <f>'Scenarios technology'!AR301+'Scenarios technology'!AR380</f>
        <v>0</v>
      </c>
      <c r="N52" s="1083">
        <f t="shared" si="0"/>
        <v>0</v>
      </c>
      <c r="O52" s="1084">
        <f>'Scenarios technology'!AR441+'Scenarios technology'!AR520</f>
        <v>0</v>
      </c>
      <c r="P52" s="1124"/>
      <c r="Q52" s="1124"/>
      <c r="R52" s="1124"/>
      <c r="S52" s="1124"/>
      <c r="T52" s="1124"/>
      <c r="U52" s="1124"/>
      <c r="V52" s="1124"/>
      <c r="W52" s="1124"/>
      <c r="X52" s="1124"/>
      <c r="Y52" s="1124"/>
      <c r="Z52" s="1124"/>
      <c r="AA52" s="1124"/>
      <c r="AB52" s="1124"/>
      <c r="AC52" s="1124"/>
      <c r="AD52" s="1124"/>
      <c r="AE52" s="1124"/>
      <c r="AF52" s="1124"/>
      <c r="AG52" s="1124"/>
      <c r="AH52" s="1124"/>
      <c r="AI52" s="1124"/>
      <c r="AJ52" s="1124"/>
      <c r="AK52" s="1124"/>
      <c r="AL52" s="1124"/>
      <c r="AM52" s="1124"/>
      <c r="AN52" s="1124"/>
      <c r="AO52" s="981"/>
      <c r="AQ52" s="513"/>
      <c r="AR52" s="513"/>
      <c r="AS52" s="513"/>
      <c r="AT52" s="513"/>
    </row>
    <row r="53" spans="2:46" ht="15.75" x14ac:dyDescent="0.25">
      <c r="B53" s="981"/>
      <c r="C53" s="1124"/>
      <c r="D53" s="986"/>
      <c r="E53" s="1081"/>
      <c r="F53" s="1081"/>
      <c r="G53" s="1081"/>
      <c r="H53" s="1081"/>
      <c r="I53" s="1082"/>
      <c r="J53" s="988" t="str">
        <f>'Scenarios technology'!U14</f>
        <v>ICE Bio-methanol</v>
      </c>
      <c r="K53" s="1083">
        <f>'Scenarios technology'!AR14+'Scenarios technology'!AR93</f>
        <v>0</v>
      </c>
      <c r="L53" s="1083">
        <f>'Scenarios technology'!AR154+'Scenarios technology'!AR233</f>
        <v>0</v>
      </c>
      <c r="M53" s="1083">
        <f>'Scenarios technology'!AR294+'Scenarios technology'!AR373</f>
        <v>0</v>
      </c>
      <c r="N53" s="1083">
        <f t="shared" si="0"/>
        <v>0</v>
      </c>
      <c r="O53" s="1084">
        <f>'Scenarios technology'!AR434+'Scenarios technology'!AR513</f>
        <v>0</v>
      </c>
      <c r="P53" s="1124"/>
      <c r="Q53" s="1124"/>
      <c r="R53" s="1124"/>
      <c r="S53" s="1124"/>
      <c r="T53" s="1124"/>
      <c r="U53" s="1124"/>
      <c r="V53" s="1124"/>
      <c r="W53" s="1124"/>
      <c r="X53" s="1124"/>
      <c r="Y53" s="1124"/>
      <c r="Z53" s="1124"/>
      <c r="AA53" s="1124"/>
      <c r="AB53" s="1124"/>
      <c r="AC53" s="1124"/>
      <c r="AD53" s="1124"/>
      <c r="AE53" s="1124"/>
      <c r="AF53" s="1124"/>
      <c r="AG53" s="1124"/>
      <c r="AH53" s="1124"/>
      <c r="AI53" s="1124"/>
      <c r="AJ53" s="1124"/>
      <c r="AK53" s="1124"/>
      <c r="AL53" s="1124"/>
      <c r="AM53" s="1124"/>
      <c r="AN53" s="1124"/>
      <c r="AO53" s="981"/>
      <c r="AQ53" s="513"/>
      <c r="AR53" s="513"/>
      <c r="AS53" s="513"/>
      <c r="AT53" s="513"/>
    </row>
    <row r="54" spans="2:46" ht="15.75" x14ac:dyDescent="0.25">
      <c r="B54" s="981"/>
      <c r="C54" s="1124"/>
      <c r="D54" s="986"/>
      <c r="E54" s="1081"/>
      <c r="F54" s="1081"/>
      <c r="G54" s="1081"/>
      <c r="H54" s="1081"/>
      <c r="I54" s="1082"/>
      <c r="J54" s="988" t="str">
        <f>'Scenarios technology'!U13</f>
        <v>ICE Bioethanol</v>
      </c>
      <c r="K54" s="1083">
        <f>'Scenarios technology'!AR13+'Scenarios technology'!AR92</f>
        <v>0</v>
      </c>
      <c r="L54" s="1083">
        <f>'Scenarios technology'!AR153+'Scenarios technology'!AR232</f>
        <v>0</v>
      </c>
      <c r="M54" s="1083">
        <f>'Scenarios technology'!AR293+'Scenarios technology'!AR372</f>
        <v>0</v>
      </c>
      <c r="N54" s="1083">
        <f t="shared" si="0"/>
        <v>0</v>
      </c>
      <c r="O54" s="1084">
        <f>'Scenarios technology'!AR433+'Scenarios technology'!AR512</f>
        <v>0</v>
      </c>
      <c r="P54" s="1124"/>
      <c r="Q54" s="1124"/>
      <c r="R54" s="1124"/>
      <c r="S54" s="1124"/>
      <c r="T54" s="1124"/>
      <c r="U54" s="1124"/>
      <c r="V54" s="1124"/>
      <c r="W54" s="1124"/>
      <c r="X54" s="1124"/>
      <c r="Y54" s="1124"/>
      <c r="Z54" s="1124"/>
      <c r="AA54" s="1124"/>
      <c r="AB54" s="1124"/>
      <c r="AC54" s="1124"/>
      <c r="AD54" s="1124"/>
      <c r="AE54" s="1124"/>
      <c r="AF54" s="1124"/>
      <c r="AG54" s="1124"/>
      <c r="AH54" s="1124"/>
      <c r="AI54" s="1124"/>
      <c r="AJ54" s="1124"/>
      <c r="AK54" s="1124"/>
      <c r="AL54" s="1124"/>
      <c r="AM54" s="1124"/>
      <c r="AN54" s="1124"/>
      <c r="AO54" s="981"/>
      <c r="AQ54" s="513"/>
      <c r="AR54" s="513"/>
      <c r="AS54" s="513"/>
      <c r="AT54" s="513"/>
    </row>
    <row r="55" spans="2:46" ht="15.75" x14ac:dyDescent="0.25">
      <c r="B55" s="981"/>
      <c r="C55" s="1124"/>
      <c r="D55" s="986"/>
      <c r="E55" s="1081"/>
      <c r="F55" s="1081"/>
      <c r="G55" s="1081"/>
      <c r="H55" s="1081"/>
      <c r="I55" s="1082"/>
      <c r="J55" s="988" t="str">
        <f>'Scenarios technology'!U22</f>
        <v>ICE Biogas</v>
      </c>
      <c r="K55" s="1083">
        <f>'Scenarios technology'!AR22+'Scenarios technology'!AR101</f>
        <v>0</v>
      </c>
      <c r="L55" s="1083">
        <f>'Scenarios technology'!AR162+'Scenarios technology'!AR241</f>
        <v>0</v>
      </c>
      <c r="M55" s="1083">
        <f>'Scenarios technology'!AR302+'Scenarios technology'!AR381</f>
        <v>0</v>
      </c>
      <c r="N55" s="1083">
        <f t="shared" si="0"/>
        <v>0</v>
      </c>
      <c r="O55" s="1084">
        <f>'Scenarios technology'!AR442+'Scenarios technology'!AR521</f>
        <v>0</v>
      </c>
      <c r="P55" s="1124"/>
      <c r="Q55" s="1124"/>
      <c r="R55" s="1124"/>
      <c r="S55" s="1124"/>
      <c r="T55" s="1124"/>
      <c r="U55" s="1124"/>
      <c r="V55" s="1124"/>
      <c r="W55" s="1124"/>
      <c r="X55" s="1124"/>
      <c r="Y55" s="1124"/>
      <c r="Z55" s="1124"/>
      <c r="AA55" s="1124"/>
      <c r="AB55" s="1124"/>
      <c r="AC55" s="1124"/>
      <c r="AD55" s="1124"/>
      <c r="AE55" s="1124"/>
      <c r="AF55" s="1124"/>
      <c r="AG55" s="1124"/>
      <c r="AH55" s="1124"/>
      <c r="AI55" s="1124"/>
      <c r="AJ55" s="1124"/>
      <c r="AK55" s="1124"/>
      <c r="AL55" s="1124"/>
      <c r="AM55" s="1124"/>
      <c r="AN55" s="1124"/>
      <c r="AO55" s="981"/>
      <c r="AQ55" s="513"/>
      <c r="AR55" s="513"/>
      <c r="AS55" s="513"/>
      <c r="AT55" s="513"/>
    </row>
    <row r="56" spans="2:46" ht="15.75" x14ac:dyDescent="0.25">
      <c r="B56" s="981"/>
      <c r="C56" s="1124"/>
      <c r="D56" s="986"/>
      <c r="E56" s="1081"/>
      <c r="F56" s="1081"/>
      <c r="G56" s="1081"/>
      <c r="H56" s="1081"/>
      <c r="I56" s="1082"/>
      <c r="J56" s="988" t="str">
        <f>'Scenarios technology'!U15</f>
        <v>ICE hybrid vehicle Bio-methanol</v>
      </c>
      <c r="K56" s="1083">
        <f>'Scenarios technology'!AR15+'Scenarios technology'!AR94</f>
        <v>0</v>
      </c>
      <c r="L56" s="1083">
        <f>'Scenarios technology'!AR155+'Scenarios technology'!AR234</f>
        <v>0</v>
      </c>
      <c r="M56" s="1083">
        <f>'Scenarios technology'!AR295+'Scenarios technology'!AR374</f>
        <v>0</v>
      </c>
      <c r="N56" s="1083">
        <f t="shared" si="0"/>
        <v>0</v>
      </c>
      <c r="O56" s="1084">
        <f>'Scenarios technology'!AR435+'Scenarios technology'!AR514</f>
        <v>0</v>
      </c>
      <c r="P56" s="1124"/>
      <c r="Q56" s="1124"/>
      <c r="R56" s="1124"/>
      <c r="S56" s="1124"/>
      <c r="T56" s="1124"/>
      <c r="U56" s="1124"/>
      <c r="V56" s="1124"/>
      <c r="W56" s="1124"/>
      <c r="X56" s="1124"/>
      <c r="Y56" s="1124"/>
      <c r="Z56" s="1124"/>
      <c r="AA56" s="1124"/>
      <c r="AB56" s="1124"/>
      <c r="AC56" s="1124"/>
      <c r="AD56" s="1124"/>
      <c r="AE56" s="1124"/>
      <c r="AF56" s="1124"/>
      <c r="AG56" s="1124"/>
      <c r="AH56" s="1124"/>
      <c r="AI56" s="1124"/>
      <c r="AJ56" s="1124"/>
      <c r="AK56" s="1124"/>
      <c r="AL56" s="1124"/>
      <c r="AM56" s="1124"/>
      <c r="AN56" s="1124"/>
      <c r="AO56" s="981"/>
      <c r="AQ56" s="513"/>
      <c r="AR56" s="513"/>
      <c r="AS56" s="513"/>
      <c r="AT56" s="513"/>
    </row>
    <row r="57" spans="2:46" ht="15.75" x14ac:dyDescent="0.25">
      <c r="B57" s="981"/>
      <c r="C57" s="1124"/>
      <c r="D57" s="986"/>
      <c r="E57" s="1081"/>
      <c r="F57" s="1081"/>
      <c r="G57" s="1081"/>
      <c r="H57" s="1081"/>
      <c r="I57" s="1082"/>
      <c r="J57" s="988" t="str">
        <f>'Scenarios technology'!U9</f>
        <v>ICE hybrid vehicle Diesel</v>
      </c>
      <c r="K57" s="1083">
        <f>'Scenarios technology'!AR9+'Scenarios technology'!AR88</f>
        <v>0</v>
      </c>
      <c r="L57" s="1083">
        <f>'Scenarios technology'!AR149+'Scenarios technology'!AR228</f>
        <v>0</v>
      </c>
      <c r="M57" s="1083">
        <f>'Scenarios technology'!AR289+'Scenarios technology'!AR368</f>
        <v>0</v>
      </c>
      <c r="N57" s="1083">
        <f t="shared" si="0"/>
        <v>0</v>
      </c>
      <c r="O57" s="1084">
        <f>'Scenarios technology'!AR429+'Scenarios technology'!AR508</f>
        <v>0</v>
      </c>
      <c r="P57" s="1124"/>
      <c r="Q57" s="1124"/>
      <c r="R57" s="1124"/>
      <c r="S57" s="1124"/>
      <c r="T57" s="1124"/>
      <c r="U57" s="1124"/>
      <c r="V57" s="1124"/>
      <c r="W57" s="1124"/>
      <c r="X57" s="1124"/>
      <c r="Y57" s="1124"/>
      <c r="Z57" s="1124"/>
      <c r="AA57" s="1124"/>
      <c r="AB57" s="1124"/>
      <c r="AC57" s="1124"/>
      <c r="AD57" s="1124"/>
      <c r="AE57" s="1124"/>
      <c r="AF57" s="1124"/>
      <c r="AG57" s="1124"/>
      <c r="AH57" s="1124"/>
      <c r="AI57" s="1124"/>
      <c r="AJ57" s="1124"/>
      <c r="AK57" s="1124"/>
      <c r="AL57" s="1124"/>
      <c r="AM57" s="1124"/>
      <c r="AN57" s="1124"/>
      <c r="AO57" s="981"/>
      <c r="AQ57" s="513"/>
      <c r="AR57" s="513"/>
      <c r="AS57" s="513"/>
      <c r="AT57" s="513"/>
    </row>
    <row r="58" spans="2:46" ht="15.75" x14ac:dyDescent="0.25">
      <c r="B58" s="981"/>
      <c r="C58" s="1124"/>
      <c r="D58" s="986"/>
      <c r="E58" s="1081"/>
      <c r="F58" s="1081"/>
      <c r="G58" s="1081"/>
      <c r="H58" s="1081"/>
      <c r="I58" s="1082"/>
      <c r="J58" s="988" t="str">
        <f>'Scenarios technology'!U16</f>
        <v>ICE Plug-in hybrid vehicle Bio-methanol</v>
      </c>
      <c r="K58" s="1083">
        <f>'Scenarios technology'!AR16+'Scenarios technology'!AR95</f>
        <v>0</v>
      </c>
      <c r="L58" s="1083">
        <f>'Scenarios technology'!AR156+'Scenarios technology'!AR235</f>
        <v>0</v>
      </c>
      <c r="M58" s="1083">
        <f>'Scenarios technology'!AR296+'Scenarios technology'!AR375</f>
        <v>0</v>
      </c>
      <c r="N58" s="1083">
        <f t="shared" si="0"/>
        <v>0</v>
      </c>
      <c r="O58" s="1084">
        <f>'Scenarios technology'!AR436+'Scenarios technology'!AR515</f>
        <v>0</v>
      </c>
      <c r="P58" s="1124"/>
      <c r="Q58" s="1124"/>
      <c r="R58" s="1124"/>
      <c r="S58" s="1124"/>
      <c r="T58" s="1124"/>
      <c r="U58" s="1124"/>
      <c r="V58" s="1124"/>
      <c r="W58" s="1124"/>
      <c r="X58" s="1124"/>
      <c r="Y58" s="1124"/>
      <c r="Z58" s="1124"/>
      <c r="AA58" s="1124"/>
      <c r="AB58" s="1124"/>
      <c r="AC58" s="1124"/>
      <c r="AD58" s="1124"/>
      <c r="AE58" s="1124"/>
      <c r="AF58" s="1124"/>
      <c r="AG58" s="1124"/>
      <c r="AH58" s="1124"/>
      <c r="AI58" s="1124"/>
      <c r="AJ58" s="1124"/>
      <c r="AK58" s="1124"/>
      <c r="AL58" s="1124"/>
      <c r="AM58" s="1124"/>
      <c r="AN58" s="1124"/>
      <c r="AO58" s="981"/>
      <c r="AQ58" s="513"/>
      <c r="AR58" s="513"/>
      <c r="AS58" s="513"/>
      <c r="AT58" s="513"/>
    </row>
    <row r="59" spans="2:46" ht="15.75" x14ac:dyDescent="0.25">
      <c r="B59" s="981"/>
      <c r="C59" s="1124"/>
      <c r="D59" s="986"/>
      <c r="E59" s="1083"/>
      <c r="F59" s="1083"/>
      <c r="G59" s="1083"/>
      <c r="H59" s="1083"/>
      <c r="I59" s="1084"/>
      <c r="J59" s="988" t="str">
        <f>'Scenarios technology'!U10</f>
        <v>ICE Plug-in hybrid vehicle Diesel</v>
      </c>
      <c r="K59" s="1083">
        <f>'Scenarios technology'!AR10+'Scenarios technology'!AR89</f>
        <v>0</v>
      </c>
      <c r="L59" s="1083">
        <f>'Scenarios technology'!AR150+'Scenarios technology'!AR229</f>
        <v>0</v>
      </c>
      <c r="M59" s="1083">
        <f>'Scenarios technology'!AR290+'Scenarios technology'!AR369</f>
        <v>0</v>
      </c>
      <c r="N59" s="1083">
        <f t="shared" si="0"/>
        <v>0</v>
      </c>
      <c r="O59" s="1084">
        <f>'Scenarios technology'!AR430+'Scenarios technology'!AR509</f>
        <v>0</v>
      </c>
      <c r="P59" s="1124"/>
      <c r="Q59" s="1124"/>
      <c r="R59" s="1124"/>
      <c r="S59" s="1124"/>
      <c r="T59" s="1124"/>
      <c r="U59" s="1124"/>
      <c r="V59" s="1124"/>
      <c r="W59" s="1124"/>
      <c r="X59" s="1124"/>
      <c r="Y59" s="1124"/>
      <c r="Z59" s="1124"/>
      <c r="AA59" s="1124"/>
      <c r="AB59" s="1124"/>
      <c r="AC59" s="1124"/>
      <c r="AD59" s="1124"/>
      <c r="AE59" s="1124"/>
      <c r="AF59" s="1124"/>
      <c r="AG59" s="1124"/>
      <c r="AH59" s="1124"/>
      <c r="AI59" s="1124"/>
      <c r="AJ59" s="1124"/>
      <c r="AK59" s="1124"/>
      <c r="AL59" s="1124"/>
      <c r="AM59" s="1124"/>
      <c r="AN59" s="1124"/>
      <c r="AO59" s="981"/>
      <c r="AQ59" s="513"/>
      <c r="AR59" s="513"/>
      <c r="AS59" s="513"/>
      <c r="AT59" s="513"/>
    </row>
    <row r="60" spans="2:46" ht="15.75" x14ac:dyDescent="0.25">
      <c r="B60" s="981"/>
      <c r="C60" s="1124"/>
      <c r="D60" s="986"/>
      <c r="E60" s="1083"/>
      <c r="F60" s="1083"/>
      <c r="G60" s="1083"/>
      <c r="H60" s="1083"/>
      <c r="I60" s="1084"/>
      <c r="J60" s="988" t="s">
        <v>483</v>
      </c>
      <c r="K60" s="1083">
        <f>'Scenarios technology'!AR11+'Scenarios technology'!AR90</f>
        <v>0</v>
      </c>
      <c r="L60" s="1069">
        <f>'Scenarios technology'!AR151+'Scenarios technology'!AR230</f>
        <v>0</v>
      </c>
      <c r="M60" s="1069">
        <f>'Scenarios technology'!AR370</f>
        <v>0</v>
      </c>
      <c r="N60" s="1083">
        <f t="shared" si="0"/>
        <v>0</v>
      </c>
      <c r="O60" s="1070">
        <f>'Scenarios technology'!AR431+'Scenarios technology'!AR510</f>
        <v>0</v>
      </c>
      <c r="P60" s="1124"/>
      <c r="Q60" s="1124"/>
      <c r="R60" s="1124"/>
      <c r="S60" s="1124"/>
      <c r="T60" s="1124"/>
      <c r="U60" s="1124"/>
      <c r="V60" s="1124"/>
      <c r="W60" s="1124"/>
      <c r="X60" s="1124"/>
      <c r="Y60" s="1124"/>
      <c r="Z60" s="1124"/>
      <c r="AA60" s="1124"/>
      <c r="AB60" s="1124"/>
      <c r="AC60" s="1124"/>
      <c r="AD60" s="1124"/>
      <c r="AE60" s="1124"/>
      <c r="AF60" s="1124"/>
      <c r="AG60" s="1124"/>
      <c r="AH60" s="1124"/>
      <c r="AI60" s="1124"/>
      <c r="AJ60" s="1124"/>
      <c r="AK60" s="1124"/>
      <c r="AL60" s="1124"/>
      <c r="AM60" s="1124"/>
      <c r="AN60" s="1124"/>
      <c r="AO60" s="981"/>
      <c r="AQ60" s="513"/>
      <c r="AR60" s="513"/>
      <c r="AS60" s="513"/>
      <c r="AT60" s="513"/>
    </row>
    <row r="61" spans="2:46" ht="15.75" x14ac:dyDescent="0.25">
      <c r="B61" s="981"/>
      <c r="C61" s="1124"/>
      <c r="D61" s="986"/>
      <c r="E61" s="1083"/>
      <c r="F61" s="1083"/>
      <c r="G61" s="1083"/>
      <c r="H61" s="1083"/>
      <c r="I61" s="1084"/>
      <c r="J61" s="988" t="str">
        <f>'Scenarios technology'!U8</f>
        <v>ICE Diesel</v>
      </c>
      <c r="K61" s="1083">
        <f>'Scenarios technology'!AR8+'Scenarios technology'!AR87</f>
        <v>0</v>
      </c>
      <c r="L61" s="1083">
        <f>'Scenarios technology'!AR148+'Scenarios technology'!AR227</f>
        <v>0</v>
      </c>
      <c r="M61" s="1083">
        <f>'Scenarios technology'!AR288+'Scenarios technology'!AR367</f>
        <v>0</v>
      </c>
      <c r="N61" s="1083">
        <f t="shared" si="0"/>
        <v>0</v>
      </c>
      <c r="O61" s="1084">
        <f>'Scenarios technology'!AR428+'Scenarios technology'!AR507</f>
        <v>0</v>
      </c>
      <c r="P61" s="1124"/>
      <c r="Q61" s="1124"/>
      <c r="R61" s="1124"/>
      <c r="S61" s="1124"/>
      <c r="T61" s="1124"/>
      <c r="U61" s="1124"/>
      <c r="V61" s="1124"/>
      <c r="W61" s="1124"/>
      <c r="X61" s="1124"/>
      <c r="Y61" s="1124"/>
      <c r="Z61" s="1124"/>
      <c r="AA61" s="1124"/>
      <c r="AB61" s="1124"/>
      <c r="AC61" s="1124"/>
      <c r="AD61" s="1124"/>
      <c r="AE61" s="1124"/>
      <c r="AF61" s="1124"/>
      <c r="AG61" s="1124"/>
      <c r="AH61" s="1124"/>
      <c r="AI61" s="1124"/>
      <c r="AJ61" s="1124"/>
      <c r="AK61" s="1124"/>
      <c r="AL61" s="1124"/>
      <c r="AM61" s="1124"/>
      <c r="AN61" s="1124"/>
      <c r="AO61" s="981"/>
      <c r="AQ61" s="513"/>
      <c r="AR61" s="513"/>
      <c r="AS61" s="513"/>
      <c r="AT61" s="513"/>
    </row>
    <row r="62" spans="2:46" ht="15.75" x14ac:dyDescent="0.25">
      <c r="B62" s="981"/>
      <c r="C62" s="1124"/>
      <c r="D62" s="986" t="s">
        <v>3</v>
      </c>
      <c r="E62" s="1083">
        <f>'Scenarios technology'!T7+'Scenarios technology'!T86</f>
        <v>808926.41281467956</v>
      </c>
      <c r="F62" s="1083">
        <f>'Scenarios technology'!T147+'Scenarios technology'!T226</f>
        <v>1400229.5092729002</v>
      </c>
      <c r="G62" s="1083">
        <f>'Scenarios technology'!T287+'Scenarios technology'!T366</f>
        <v>1714879.4221948099</v>
      </c>
      <c r="H62" s="1083">
        <f>(I62-G62)/2+G62</f>
        <v>2043192.6317233536</v>
      </c>
      <c r="I62" s="1084">
        <f>'Scenarios technology'!T427+'Scenarios technology'!T506</f>
        <v>2371505.8412518972</v>
      </c>
      <c r="J62" s="988" t="str">
        <f>'Scenarios technology'!U12</f>
        <v>ICE Petrol</v>
      </c>
      <c r="K62" s="1083">
        <f>'Scenarios technology'!AR12+'Scenarios technology'!AR91</f>
        <v>0</v>
      </c>
      <c r="L62" s="1083">
        <f>'Scenarios technology'!AR152+'Scenarios technology'!AR231</f>
        <v>0</v>
      </c>
      <c r="M62" s="1083">
        <f>'Scenarios technology'!AR292+'Scenarios technology'!AR371</f>
        <v>0</v>
      </c>
      <c r="N62" s="1083">
        <f t="shared" si="0"/>
        <v>0</v>
      </c>
      <c r="O62" s="1084">
        <f>'Scenarios technology'!AR432+'Scenarios technology'!AR511</f>
        <v>0</v>
      </c>
      <c r="P62" s="1124"/>
      <c r="Q62" s="1124"/>
      <c r="R62" s="1124"/>
      <c r="S62" s="1124"/>
      <c r="T62" s="1124"/>
      <c r="U62" s="1124"/>
      <c r="V62" s="1124"/>
      <c r="W62" s="1124"/>
      <c r="X62" s="1124"/>
      <c r="Y62" s="1124"/>
      <c r="Z62" s="1124"/>
      <c r="AA62" s="1124"/>
      <c r="AB62" s="1124"/>
      <c r="AC62" s="1124"/>
      <c r="AD62" s="1124"/>
      <c r="AE62" s="1124"/>
      <c r="AF62" s="1124"/>
      <c r="AG62" s="1124"/>
      <c r="AH62" s="1124"/>
      <c r="AI62" s="1124"/>
      <c r="AJ62" s="1124"/>
      <c r="AK62" s="1124"/>
      <c r="AL62" s="1124"/>
      <c r="AM62" s="1124"/>
      <c r="AN62" s="1124"/>
      <c r="AO62" s="981"/>
      <c r="AQ62" s="513"/>
      <c r="AR62" s="513"/>
      <c r="AS62" s="513"/>
      <c r="AT62" s="513"/>
    </row>
    <row r="63" spans="2:46" ht="15.75" x14ac:dyDescent="0.25">
      <c r="B63" s="981"/>
      <c r="C63" s="1124"/>
      <c r="D63" s="986" t="s">
        <v>41</v>
      </c>
      <c r="E63" s="1083">
        <f>'Scenarios technology'!T8+'Scenarios technology'!T87</f>
        <v>1760677.1950000001</v>
      </c>
      <c r="F63" s="1083">
        <f>'Scenarios technology'!T148+'Scenarios technology'!T227</f>
        <v>1374714.985991213</v>
      </c>
      <c r="G63" s="1083">
        <f>'Scenarios technology'!T288+'Scenarios technology'!T367</f>
        <v>1409507.5588528593</v>
      </c>
      <c r="H63" s="1083">
        <f>(I63-G63)/2+G63</f>
        <v>1138415.354207739</v>
      </c>
      <c r="I63" s="1084">
        <f>'Scenarios technology'!T428+'Scenarios technology'!T507</f>
        <v>867323.14956261881</v>
      </c>
      <c r="J63" s="988" t="str">
        <f>'Scenarios technology'!U17</f>
        <v>ICE Syn-methanol</v>
      </c>
      <c r="K63" s="1083">
        <f>'Scenarios technology'!AR17+'Scenarios technology'!AR96</f>
        <v>0</v>
      </c>
      <c r="L63" s="1083">
        <f>'Scenarios technology'!AR157+'Scenarios technology'!AR236</f>
        <v>0</v>
      </c>
      <c r="M63" s="1083">
        <f>'Scenarios technology'!AR297+'Scenarios technology'!AR376</f>
        <v>0</v>
      </c>
      <c r="N63" s="1083">
        <f t="shared" si="0"/>
        <v>0</v>
      </c>
      <c r="O63" s="1084">
        <f>'Scenarios technology'!AR437+'Scenarios technology'!AR516</f>
        <v>0</v>
      </c>
      <c r="P63" s="1124"/>
      <c r="Q63" s="1124"/>
      <c r="R63" s="1124"/>
      <c r="S63" s="1124"/>
      <c r="T63" s="1124"/>
      <c r="U63" s="1124"/>
      <c r="V63" s="1124"/>
      <c r="W63" s="1124"/>
      <c r="X63" s="1124"/>
      <c r="Y63" s="1124"/>
      <c r="Z63" s="1124"/>
      <c r="AA63" s="1124"/>
      <c r="AB63" s="1124"/>
      <c r="AC63" s="1124"/>
      <c r="AD63" s="1124"/>
      <c r="AE63" s="1124"/>
      <c r="AF63" s="1124"/>
      <c r="AG63" s="1124"/>
      <c r="AH63" s="1124"/>
      <c r="AI63" s="1124"/>
      <c r="AJ63" s="1124"/>
      <c r="AK63" s="1124"/>
      <c r="AL63" s="1124"/>
      <c r="AM63" s="1124"/>
      <c r="AN63" s="1124"/>
      <c r="AO63" s="981"/>
      <c r="AQ63" s="513"/>
      <c r="AR63" s="513"/>
      <c r="AS63" s="513"/>
      <c r="AT63" s="513"/>
    </row>
    <row r="64" spans="2:46" ht="15.75" x14ac:dyDescent="0.25">
      <c r="B64" s="981"/>
      <c r="C64" s="1124"/>
      <c r="D64" s="986" t="s">
        <v>43</v>
      </c>
      <c r="E64" s="1083">
        <f>'Scenarios technology'!T9+'Scenarios technology'!T88</f>
        <v>5300.8050000000003</v>
      </c>
      <c r="F64" s="1083">
        <f>'Scenarios technology'!T149+'Scenarios technology'!T228</f>
        <v>48069.243792467765</v>
      </c>
      <c r="G64" s="1083">
        <f>'Scenarios technology'!T289+'Scenarios technology'!T368</f>
        <v>56871.902630039178</v>
      </c>
      <c r="H64" s="1083">
        <f>(I64-G64)/2+G64</f>
        <v>57185.568892577387</v>
      </c>
      <c r="I64" s="1084">
        <f>'Scenarios technology'!T429+'Scenarios technology'!T508</f>
        <v>57499.235155115588</v>
      </c>
      <c r="J64" s="988" t="str">
        <f>'Scenarios technology'!U18</f>
        <v>ICE hybrid vehicle Syn-methanol</v>
      </c>
      <c r="K64" s="1083">
        <f>'Scenarios technology'!AR18+'Scenarios technology'!AR97</f>
        <v>0</v>
      </c>
      <c r="L64" s="1083">
        <f>'Scenarios technology'!AR158+'Scenarios technology'!AR237</f>
        <v>0</v>
      </c>
      <c r="M64" s="1083">
        <f>'Scenarios technology'!AR298+'Scenarios technology'!AR377</f>
        <v>0</v>
      </c>
      <c r="N64" s="1083">
        <f t="shared" si="0"/>
        <v>0</v>
      </c>
      <c r="O64" s="1084">
        <f>'Scenarios technology'!AR438+'Scenarios technology'!AR517</f>
        <v>0</v>
      </c>
      <c r="P64" s="1124"/>
      <c r="Q64" s="1124"/>
      <c r="R64" s="1124"/>
      <c r="S64" s="1124"/>
      <c r="T64" s="1124"/>
      <c r="U64" s="1124"/>
      <c r="V64" s="1124"/>
      <c r="W64" s="1124"/>
      <c r="X64" s="1124"/>
      <c r="Y64" s="1124"/>
      <c r="Z64" s="1124"/>
      <c r="AA64" s="1124"/>
      <c r="AB64" s="1124"/>
      <c r="AC64" s="1124"/>
      <c r="AD64" s="1124"/>
      <c r="AE64" s="1124"/>
      <c r="AF64" s="1124"/>
      <c r="AG64" s="1124"/>
      <c r="AH64" s="1124"/>
      <c r="AI64" s="1124"/>
      <c r="AJ64" s="1124"/>
      <c r="AK64" s="1124"/>
      <c r="AL64" s="1124"/>
      <c r="AM64" s="1124"/>
      <c r="AN64" s="1124"/>
      <c r="AO64" s="981"/>
      <c r="AQ64" s="513"/>
      <c r="AR64" s="513"/>
      <c r="AS64" s="513"/>
      <c r="AT64" s="513"/>
    </row>
    <row r="65" spans="2:46" ht="15.75" x14ac:dyDescent="0.25">
      <c r="B65" s="981"/>
      <c r="C65" s="1124"/>
      <c r="D65" s="986" t="s">
        <v>74</v>
      </c>
      <c r="E65" s="1083">
        <f>'Scenarios technology'!T10+'Scenarios technology'!T89</f>
        <v>7428.5871853204426</v>
      </c>
      <c r="F65" s="1083">
        <f>'Scenarios technology'!T150+'Scenarios technology'!T229</f>
        <v>85227.609375580694</v>
      </c>
      <c r="G65" s="1083">
        <f>'Scenarios technology'!T290+'Scenarios technology'!T369</f>
        <v>89286.22797056839</v>
      </c>
      <c r="H65" s="1083">
        <f>(I65-G65)/2+G65</f>
        <v>89793.836150944931</v>
      </c>
      <c r="I65" s="1084">
        <f>'Scenarios technology'!T430+'Scenarios technology'!T509</f>
        <v>90301.444331321487</v>
      </c>
      <c r="J65" s="988" t="str">
        <f>'Scenarios technology'!U19</f>
        <v>ICE Plug-in hybrid vehicle Syn-methanol</v>
      </c>
      <c r="K65" s="1083">
        <f>'Scenarios technology'!AR19+'Scenarios technology'!AR98</f>
        <v>0</v>
      </c>
      <c r="L65" s="1083">
        <f>'Scenarios technology'!AR159+'Scenarios technology'!AR238</f>
        <v>0</v>
      </c>
      <c r="M65" s="1083">
        <f>'Scenarios technology'!AR299+'Scenarios technology'!AR378</f>
        <v>0</v>
      </c>
      <c r="N65" s="1083">
        <f t="shared" si="0"/>
        <v>0</v>
      </c>
      <c r="O65" s="1084">
        <f>'Scenarios technology'!AR439+'Scenarios technology'!AR518</f>
        <v>0</v>
      </c>
      <c r="P65" s="1124"/>
      <c r="Q65" s="1124"/>
      <c r="R65" s="1124"/>
      <c r="S65" s="1124"/>
      <c r="T65" s="1124"/>
      <c r="U65" s="1124"/>
      <c r="V65" s="1124"/>
      <c r="W65" s="1124"/>
      <c r="X65" s="1124"/>
      <c r="Y65" s="1124"/>
      <c r="Z65" s="1124"/>
      <c r="AA65" s="1124"/>
      <c r="AB65" s="1124"/>
      <c r="AC65" s="1124"/>
      <c r="AD65" s="1124"/>
      <c r="AE65" s="1124"/>
      <c r="AF65" s="1124"/>
      <c r="AG65" s="1124"/>
      <c r="AH65" s="1124"/>
      <c r="AI65" s="1124"/>
      <c r="AJ65" s="1124"/>
      <c r="AK65" s="1124"/>
      <c r="AL65" s="1124"/>
      <c r="AM65" s="1124"/>
      <c r="AN65" s="1124"/>
      <c r="AO65" s="981"/>
      <c r="AQ65" s="513"/>
      <c r="AR65" s="513"/>
      <c r="AS65" s="513"/>
      <c r="AT65" s="513"/>
    </row>
    <row r="66" spans="2:46" ht="16.5" thickBot="1" x14ac:dyDescent="0.3">
      <c r="B66" s="981"/>
      <c r="C66" s="1124"/>
      <c r="D66" s="993"/>
      <c r="E66" s="1085"/>
      <c r="F66" s="1085"/>
      <c r="G66" s="1085"/>
      <c r="H66" s="1085"/>
      <c r="I66" s="1086"/>
      <c r="J66" s="994" t="s">
        <v>57</v>
      </c>
      <c r="K66" s="1091">
        <f>'Scenarios technology'!AR23+'Scenarios technology'!AR102</f>
        <v>2582681</v>
      </c>
      <c r="L66" s="1091">
        <f>'Scenarios technology'!AR163+'Scenarios technology'!AR242</f>
        <v>2908241.3484321623</v>
      </c>
      <c r="M66" s="1091">
        <f>'Scenarios technology'!AR303+'Scenarios technology'!AR382</f>
        <v>3270545.1116482769</v>
      </c>
      <c r="N66" s="1091">
        <f t="shared" si="0"/>
        <v>3328587.3909746148</v>
      </c>
      <c r="O66" s="1092">
        <f>'Scenarios technology'!AR443+'Scenarios technology'!AR522</f>
        <v>3386629.6703009531</v>
      </c>
      <c r="P66" s="1124"/>
      <c r="Q66" s="1124"/>
      <c r="R66" s="1124"/>
      <c r="S66" s="1124"/>
      <c r="T66" s="1124"/>
      <c r="U66" s="1124"/>
      <c r="V66" s="1124"/>
      <c r="W66" s="1124"/>
      <c r="X66" s="1124"/>
      <c r="Y66" s="1124"/>
      <c r="Z66" s="1124"/>
      <c r="AA66" s="1124"/>
      <c r="AB66" s="1124"/>
      <c r="AC66" s="1124"/>
      <c r="AD66" s="1124"/>
      <c r="AE66" s="1124"/>
      <c r="AF66" s="1124"/>
      <c r="AG66" s="1124"/>
      <c r="AH66" s="1124"/>
      <c r="AI66" s="1124"/>
      <c r="AJ66" s="1124"/>
      <c r="AK66" s="1124"/>
      <c r="AL66" s="1124"/>
      <c r="AM66" s="1124"/>
      <c r="AN66" s="1124"/>
      <c r="AO66" s="981"/>
      <c r="AQ66" s="513"/>
      <c r="AR66" s="513"/>
      <c r="AS66" s="513"/>
      <c r="AT66" s="513"/>
    </row>
    <row r="67" spans="2:46" ht="17.25" thickTop="1" thickBot="1" x14ac:dyDescent="0.3">
      <c r="B67" s="981"/>
      <c r="C67" s="1124"/>
      <c r="D67" s="996" t="s">
        <v>60</v>
      </c>
      <c r="E67" s="1087">
        <f>'Scenarios technology'!T6+'Scenarios technology'!T85</f>
        <v>2582681</v>
      </c>
      <c r="F67" s="1087">
        <f>'Scenarios technology'!T146+'Scenarios technology'!T225</f>
        <v>2908241.3484321623</v>
      </c>
      <c r="G67" s="1087">
        <f>'Scenarios technology'!T286+'Scenarios technology'!T365</f>
        <v>3270545.1116482769</v>
      </c>
      <c r="H67" s="1087">
        <f>(I67-G67)/2+G67</f>
        <v>3328587.3909746148</v>
      </c>
      <c r="I67" s="1088">
        <f>'Scenarios technology'!T426+'Scenarios technology'!T505</f>
        <v>3386629.6703009531</v>
      </c>
      <c r="J67" s="996" t="s">
        <v>56</v>
      </c>
      <c r="K67" s="1087">
        <f>'Scenarios technology'!AR6+'Scenarios technology'!AR85</f>
        <v>2582681</v>
      </c>
      <c r="L67" s="1087">
        <f>'Scenarios technology'!AR146+'Scenarios technology'!AR225</f>
        <v>2908241.3484321623</v>
      </c>
      <c r="M67" s="1087">
        <f>'Scenarios technology'!AR286+'Scenarios technology'!AR365</f>
        <v>3270545.1116482769</v>
      </c>
      <c r="N67" s="1087">
        <f t="shared" si="0"/>
        <v>3328587.3909746148</v>
      </c>
      <c r="O67" s="1088">
        <f>'Scenarios technology'!AR426+'Scenarios technology'!AR505</f>
        <v>3386629.6703009531</v>
      </c>
      <c r="P67" s="1124"/>
      <c r="Q67" s="1124"/>
      <c r="R67" s="1124"/>
      <c r="S67" s="1124"/>
      <c r="T67" s="1124"/>
      <c r="U67" s="1124"/>
      <c r="V67" s="1124"/>
      <c r="W67" s="1124"/>
      <c r="X67" s="1124"/>
      <c r="Y67" s="1124"/>
      <c r="Z67" s="1124"/>
      <c r="AA67" s="1124"/>
      <c r="AB67" s="1124"/>
      <c r="AC67" s="1124"/>
      <c r="AD67" s="1124"/>
      <c r="AE67" s="1124"/>
      <c r="AF67" s="1124"/>
      <c r="AG67" s="1124"/>
      <c r="AH67" s="1124"/>
      <c r="AI67" s="1124"/>
      <c r="AJ67" s="1124"/>
      <c r="AK67" s="1124"/>
      <c r="AL67" s="1124"/>
      <c r="AM67" s="1124"/>
      <c r="AN67" s="1124"/>
      <c r="AO67" s="981"/>
      <c r="AQ67" s="513"/>
      <c r="AR67" s="513"/>
      <c r="AS67" s="513"/>
      <c r="AT67" s="513"/>
    </row>
    <row r="68" spans="2:46" ht="15.75" x14ac:dyDescent="0.25">
      <c r="B68" s="981"/>
      <c r="C68" s="1124"/>
      <c r="D68" s="1131"/>
      <c r="E68" s="1132"/>
      <c r="F68" s="1132"/>
      <c r="G68" s="1132"/>
      <c r="H68" s="1132"/>
      <c r="I68" s="1132"/>
      <c r="J68" s="1131"/>
      <c r="K68" s="1132"/>
      <c r="L68" s="1132"/>
      <c r="M68" s="1132"/>
      <c r="N68" s="1132"/>
      <c r="O68" s="1132"/>
      <c r="P68" s="1124"/>
      <c r="Q68" s="1124"/>
      <c r="R68" s="1124"/>
      <c r="S68" s="1124"/>
      <c r="T68" s="1124"/>
      <c r="U68" s="1124"/>
      <c r="V68" s="1124"/>
      <c r="W68" s="1124"/>
      <c r="X68" s="1124"/>
      <c r="Y68" s="1124"/>
      <c r="Z68" s="1124"/>
      <c r="AA68" s="1124"/>
      <c r="AB68" s="1124"/>
      <c r="AC68" s="1124"/>
      <c r="AD68" s="1124"/>
      <c r="AE68" s="1124"/>
      <c r="AF68" s="1124"/>
      <c r="AG68" s="1124"/>
      <c r="AH68" s="1124"/>
      <c r="AI68" s="1124"/>
      <c r="AJ68" s="1124"/>
      <c r="AK68" s="1124"/>
      <c r="AL68" s="1124"/>
      <c r="AM68" s="1124"/>
      <c r="AN68" s="1124"/>
      <c r="AO68" s="981"/>
      <c r="AQ68" s="513"/>
      <c r="AR68" s="513"/>
      <c r="AS68" s="513"/>
      <c r="AT68" s="513"/>
    </row>
    <row r="69" spans="2:46" ht="16.5" thickBot="1" x14ac:dyDescent="0.3">
      <c r="B69" s="981"/>
      <c r="C69" s="1124"/>
      <c r="D69" s="1133"/>
      <c r="E69" s="1134"/>
      <c r="F69" s="1134"/>
      <c r="G69" s="1134"/>
      <c r="H69" s="1134"/>
      <c r="I69" s="1134"/>
      <c r="J69" s="1133"/>
      <c r="K69" s="1134"/>
      <c r="L69" s="1134"/>
      <c r="M69" s="1134"/>
      <c r="N69" s="1134"/>
      <c r="O69" s="1134"/>
      <c r="P69" s="1124"/>
      <c r="Q69" s="1124"/>
      <c r="R69" s="1124"/>
      <c r="S69" s="1124"/>
      <c r="T69" s="1124"/>
      <c r="U69" s="1124"/>
      <c r="V69" s="1124"/>
      <c r="W69" s="1124"/>
      <c r="X69" s="1124"/>
      <c r="Y69" s="1124"/>
      <c r="Z69" s="1124"/>
      <c r="AA69" s="1124"/>
      <c r="AB69" s="1124"/>
      <c r="AC69" s="1124"/>
      <c r="AD69" s="1124"/>
      <c r="AE69" s="1124"/>
      <c r="AF69" s="1124"/>
      <c r="AG69" s="1124"/>
      <c r="AH69" s="1124"/>
      <c r="AI69" s="1124"/>
      <c r="AJ69" s="1124"/>
      <c r="AK69" s="1124"/>
      <c r="AL69" s="1124"/>
      <c r="AM69" s="1124"/>
      <c r="AN69" s="1124"/>
      <c r="AO69" s="981"/>
      <c r="AQ69" s="513"/>
      <c r="AR69" s="513"/>
      <c r="AS69" s="513"/>
      <c r="AT69" s="513"/>
    </row>
    <row r="70" spans="2:46" x14ac:dyDescent="0.25">
      <c r="B70" s="981"/>
      <c r="C70" s="1124"/>
      <c r="D70" s="2020" t="s">
        <v>181</v>
      </c>
      <c r="E70" s="2021"/>
      <c r="F70" s="2021"/>
      <c r="G70" s="2021"/>
      <c r="H70" s="2021"/>
      <c r="I70" s="2022"/>
      <c r="J70" s="2017" t="s">
        <v>181</v>
      </c>
      <c r="K70" s="2018"/>
      <c r="L70" s="2018"/>
      <c r="M70" s="2018"/>
      <c r="N70" s="2018"/>
      <c r="O70" s="2019"/>
      <c r="P70" s="2020" t="s">
        <v>189</v>
      </c>
      <c r="Q70" s="2021">
        <v>2010</v>
      </c>
      <c r="R70" s="2021">
        <v>2020</v>
      </c>
      <c r="S70" s="2021">
        <v>2030</v>
      </c>
      <c r="T70" s="2021">
        <v>2040</v>
      </c>
      <c r="U70" s="2022">
        <v>2050</v>
      </c>
      <c r="V70" s="2017" t="s">
        <v>189</v>
      </c>
      <c r="W70" s="2018">
        <v>2010</v>
      </c>
      <c r="X70" s="2018">
        <v>2020</v>
      </c>
      <c r="Y70" s="2018">
        <v>2030</v>
      </c>
      <c r="Z70" s="2018">
        <v>2040</v>
      </c>
      <c r="AA70" s="2019">
        <v>2050</v>
      </c>
      <c r="AB70" s="2020" t="s">
        <v>191</v>
      </c>
      <c r="AC70" s="2021">
        <v>2010</v>
      </c>
      <c r="AD70" s="2021">
        <v>2020</v>
      </c>
      <c r="AE70" s="2021">
        <v>2030</v>
      </c>
      <c r="AF70" s="2021">
        <v>2040</v>
      </c>
      <c r="AG70" s="2022">
        <v>2050</v>
      </c>
      <c r="AH70" s="2017" t="s">
        <v>191</v>
      </c>
      <c r="AI70" s="2018">
        <v>2010</v>
      </c>
      <c r="AJ70" s="2018">
        <v>2020</v>
      </c>
      <c r="AK70" s="2018">
        <v>2030</v>
      </c>
      <c r="AL70" s="2018">
        <v>2040</v>
      </c>
      <c r="AM70" s="2019">
        <v>2050</v>
      </c>
      <c r="AN70" s="1124"/>
      <c r="AO70" s="981"/>
      <c r="AR70" s="513"/>
      <c r="AS70" s="513"/>
    </row>
    <row r="71" spans="2:46" ht="15.75" thickBot="1" x14ac:dyDescent="0.3">
      <c r="B71" s="981"/>
      <c r="C71" s="1124"/>
      <c r="D71" s="971" t="s">
        <v>182</v>
      </c>
      <c r="E71" s="983">
        <v>2010</v>
      </c>
      <c r="F71" s="983">
        <v>2020</v>
      </c>
      <c r="G71" s="983">
        <v>2030</v>
      </c>
      <c r="H71" s="983">
        <v>2040</v>
      </c>
      <c r="I71" s="984">
        <v>2050</v>
      </c>
      <c r="J71" s="971" t="s">
        <v>182</v>
      </c>
      <c r="K71" s="983">
        <v>2010</v>
      </c>
      <c r="L71" s="983">
        <v>2020</v>
      </c>
      <c r="M71" s="983">
        <v>2030</v>
      </c>
      <c r="N71" s="983">
        <v>2040</v>
      </c>
      <c r="O71" s="984">
        <v>2050</v>
      </c>
      <c r="P71" s="971" t="s">
        <v>391</v>
      </c>
      <c r="Q71" s="983">
        <v>2010</v>
      </c>
      <c r="R71" s="983">
        <v>2020</v>
      </c>
      <c r="S71" s="983">
        <v>2030</v>
      </c>
      <c r="T71" s="983">
        <v>2040</v>
      </c>
      <c r="U71" s="984">
        <v>2050</v>
      </c>
      <c r="V71" s="971" t="s">
        <v>391</v>
      </c>
      <c r="W71" s="983">
        <v>2010</v>
      </c>
      <c r="X71" s="983">
        <v>2020</v>
      </c>
      <c r="Y71" s="983">
        <v>2030</v>
      </c>
      <c r="Z71" s="983">
        <v>2040</v>
      </c>
      <c r="AA71" s="984">
        <v>2050</v>
      </c>
      <c r="AB71" s="971" t="s">
        <v>391</v>
      </c>
      <c r="AC71" s="983">
        <v>2010</v>
      </c>
      <c r="AD71" s="983">
        <v>2020</v>
      </c>
      <c r="AE71" s="983">
        <v>2030</v>
      </c>
      <c r="AF71" s="983">
        <v>2040</v>
      </c>
      <c r="AG71" s="984">
        <v>2050</v>
      </c>
      <c r="AH71" s="971" t="s">
        <v>391</v>
      </c>
      <c r="AI71" s="983">
        <v>2010</v>
      </c>
      <c r="AJ71" s="983">
        <v>2020</v>
      </c>
      <c r="AK71" s="983">
        <v>2030</v>
      </c>
      <c r="AL71" s="983">
        <v>2040</v>
      </c>
      <c r="AM71" s="984">
        <v>2050</v>
      </c>
      <c r="AN71" s="1124"/>
      <c r="AO71" s="981"/>
      <c r="AR71" s="513"/>
      <c r="AS71" s="513"/>
    </row>
    <row r="72" spans="2:46" ht="15.75" x14ac:dyDescent="0.25">
      <c r="B72" s="981"/>
      <c r="C72" s="1124"/>
      <c r="D72" s="986"/>
      <c r="E72" s="1081"/>
      <c r="F72" s="1081"/>
      <c r="G72" s="1081"/>
      <c r="H72" s="1081"/>
      <c r="I72" s="1082"/>
      <c r="J72" s="999" t="str">
        <f t="shared" ref="J72:J81" si="1">J116</f>
        <v>Battery electric vehicles</v>
      </c>
      <c r="K72" s="1093">
        <v>96631.578947368427</v>
      </c>
      <c r="L72" s="1093">
        <v>96631.578947368427</v>
      </c>
      <c r="M72" s="1093">
        <v>96631.578947368427</v>
      </c>
      <c r="N72" s="1093">
        <v>96631.578947368427</v>
      </c>
      <c r="O72" s="1094">
        <v>96631.578947368427</v>
      </c>
      <c r="P72" s="1000"/>
      <c r="Q72" s="1099"/>
      <c r="R72" s="1099"/>
      <c r="S72" s="1099"/>
      <c r="T72" s="1099"/>
      <c r="U72" s="1100"/>
      <c r="V72" s="999" t="str">
        <f t="shared" ref="V72:V81" si="2">J116</f>
        <v>Battery electric vehicles</v>
      </c>
      <c r="W72" s="1089">
        <f t="shared" ref="W72:W88" si="3">K50*K72/1000000</f>
        <v>0</v>
      </c>
      <c r="X72" s="1089">
        <f t="shared" ref="X72:X88" si="4">L50*L72/1000000</f>
        <v>0</v>
      </c>
      <c r="Y72" s="1089">
        <f t="shared" ref="Y72:Y88" si="5">M50*M72/1000000</f>
        <v>0</v>
      </c>
      <c r="Z72" s="1089">
        <f t="shared" ref="Z72:Z88" si="6">N50*N72/1000000</f>
        <v>0</v>
      </c>
      <c r="AA72" s="1090">
        <f t="shared" ref="AA72:AA88" si="7">O50*O72/1000000</f>
        <v>0</v>
      </c>
      <c r="AB72" s="1000"/>
      <c r="AC72" s="1099"/>
      <c r="AD72" s="1099"/>
      <c r="AE72" s="1099"/>
      <c r="AF72" s="1099"/>
      <c r="AG72" s="1100"/>
      <c r="AH72" s="999" t="str">
        <f t="shared" ref="AH72:AH88" si="8">V72</f>
        <v>Battery electric vehicles</v>
      </c>
      <c r="AI72" s="1089">
        <f t="shared" ref="AI72:AI88" si="9">-PMT($E$7,$G$7,W72,0,0)</f>
        <v>0</v>
      </c>
      <c r="AJ72" s="1089">
        <f t="shared" ref="AJ72:AJ88" si="10">-PMT($E$7,$G$7,X72,0,0)</f>
        <v>0</v>
      </c>
      <c r="AK72" s="1089">
        <f t="shared" ref="AK72:AK88" si="11">-PMT($E$7,$G$7,Y72,0,0)</f>
        <v>0</v>
      </c>
      <c r="AL72" s="1089">
        <f t="shared" ref="AL72:AL88" si="12">-PMT($E$7,$G$7,Z72,0,0)</f>
        <v>0</v>
      </c>
      <c r="AM72" s="1090">
        <f t="shared" ref="AM72:AM88" si="13">-PMT($E$7,$G$7,AA72,0,0)</f>
        <v>0</v>
      </c>
      <c r="AN72" s="1128"/>
      <c r="AO72" s="981"/>
      <c r="AR72" s="513"/>
      <c r="AS72" s="513"/>
    </row>
    <row r="73" spans="2:46" ht="15.75" x14ac:dyDescent="0.25">
      <c r="B73" s="981"/>
      <c r="C73" s="1124"/>
      <c r="D73" s="986"/>
      <c r="E73" s="1081"/>
      <c r="F73" s="1081"/>
      <c r="G73" s="1081"/>
      <c r="H73" s="1081"/>
      <c r="I73" s="1082"/>
      <c r="J73" s="988" t="str">
        <f t="shared" si="1"/>
        <v>Fuel cell hybrid vehicle Syn-methanol</v>
      </c>
      <c r="K73" s="1069">
        <v>716353.21960072592</v>
      </c>
      <c r="L73" s="1069">
        <v>139949.18330308501</v>
      </c>
      <c r="M73" s="1069">
        <v>139949.18330308501</v>
      </c>
      <c r="N73" s="1069">
        <v>139949.18330308501</v>
      </c>
      <c r="O73" s="1070">
        <v>139949.18330308501</v>
      </c>
      <c r="P73" s="986"/>
      <c r="Q73" s="1081"/>
      <c r="R73" s="1081"/>
      <c r="S73" s="1081"/>
      <c r="T73" s="1081"/>
      <c r="U73" s="1082"/>
      <c r="V73" s="986" t="str">
        <f t="shared" si="2"/>
        <v>Fuel cell hybrid vehicle Syn-methanol</v>
      </c>
      <c r="W73" s="1083">
        <f t="shared" si="3"/>
        <v>0</v>
      </c>
      <c r="X73" s="1083">
        <f t="shared" si="4"/>
        <v>0</v>
      </c>
      <c r="Y73" s="1083">
        <f t="shared" si="5"/>
        <v>0</v>
      </c>
      <c r="Z73" s="1083">
        <f t="shared" si="6"/>
        <v>0</v>
      </c>
      <c r="AA73" s="1084">
        <f t="shared" si="7"/>
        <v>0</v>
      </c>
      <c r="AB73" s="986"/>
      <c r="AC73" s="1081"/>
      <c r="AD73" s="1081"/>
      <c r="AE73" s="1081"/>
      <c r="AF73" s="1081"/>
      <c r="AG73" s="1082"/>
      <c r="AH73" s="986" t="str">
        <f t="shared" si="8"/>
        <v>Fuel cell hybrid vehicle Syn-methanol</v>
      </c>
      <c r="AI73" s="1083">
        <f t="shared" si="9"/>
        <v>0</v>
      </c>
      <c r="AJ73" s="1083">
        <f t="shared" si="10"/>
        <v>0</v>
      </c>
      <c r="AK73" s="1083">
        <f t="shared" si="11"/>
        <v>0</v>
      </c>
      <c r="AL73" s="1083">
        <f t="shared" si="12"/>
        <v>0</v>
      </c>
      <c r="AM73" s="1084">
        <f t="shared" si="13"/>
        <v>0</v>
      </c>
      <c r="AN73" s="1128"/>
      <c r="AO73" s="981"/>
      <c r="AR73" s="513"/>
      <c r="AS73" s="513"/>
    </row>
    <row r="74" spans="2:46" ht="15.75" x14ac:dyDescent="0.25">
      <c r="B74" s="981"/>
      <c r="C74" s="1124"/>
      <c r="D74" s="986"/>
      <c r="E74" s="1081"/>
      <c r="F74" s="1081"/>
      <c r="G74" s="1081"/>
      <c r="H74" s="1081"/>
      <c r="I74" s="1082"/>
      <c r="J74" s="988" t="str">
        <f t="shared" si="1"/>
        <v>Plug-in fuel cell hybrid vehicle Electricity &amp; Syn-methanol</v>
      </c>
      <c r="K74" s="1095">
        <f>K73</f>
        <v>716353.21960072592</v>
      </c>
      <c r="L74" s="1095">
        <f>L73</f>
        <v>139949.18330308501</v>
      </c>
      <c r="M74" s="1095">
        <f>M73</f>
        <v>139949.18330308501</v>
      </c>
      <c r="N74" s="1095">
        <f>N73</f>
        <v>139949.18330308501</v>
      </c>
      <c r="O74" s="1096">
        <f>O73</f>
        <v>139949.18330308501</v>
      </c>
      <c r="P74" s="986"/>
      <c r="Q74" s="1101"/>
      <c r="R74" s="1101"/>
      <c r="S74" s="1101"/>
      <c r="T74" s="1101"/>
      <c r="U74" s="1102"/>
      <c r="V74" s="986" t="str">
        <f t="shared" si="2"/>
        <v>Plug-in fuel cell hybrid vehicle Electricity &amp; Syn-methanol</v>
      </c>
      <c r="W74" s="1083">
        <f t="shared" si="3"/>
        <v>0</v>
      </c>
      <c r="X74" s="1083">
        <f t="shared" si="4"/>
        <v>0</v>
      </c>
      <c r="Y74" s="1083">
        <f t="shared" si="5"/>
        <v>0</v>
      </c>
      <c r="Z74" s="1083">
        <f t="shared" si="6"/>
        <v>0</v>
      </c>
      <c r="AA74" s="1084">
        <f t="shared" si="7"/>
        <v>0</v>
      </c>
      <c r="AB74" s="986"/>
      <c r="AC74" s="1101"/>
      <c r="AD74" s="1101"/>
      <c r="AE74" s="1101"/>
      <c r="AF74" s="1101"/>
      <c r="AG74" s="1102"/>
      <c r="AH74" s="986" t="str">
        <f t="shared" si="8"/>
        <v>Plug-in fuel cell hybrid vehicle Electricity &amp; Syn-methanol</v>
      </c>
      <c r="AI74" s="1083">
        <f t="shared" si="9"/>
        <v>0</v>
      </c>
      <c r="AJ74" s="1083">
        <f t="shared" si="10"/>
        <v>0</v>
      </c>
      <c r="AK74" s="1083">
        <f t="shared" si="11"/>
        <v>0</v>
      </c>
      <c r="AL74" s="1083">
        <f t="shared" si="12"/>
        <v>0</v>
      </c>
      <c r="AM74" s="1084">
        <f t="shared" si="13"/>
        <v>0</v>
      </c>
      <c r="AN74" s="1128"/>
      <c r="AO74" s="981"/>
      <c r="AR74" s="513"/>
      <c r="AS74" s="513"/>
    </row>
    <row r="75" spans="2:46" ht="15.75" x14ac:dyDescent="0.25">
      <c r="B75" s="981"/>
      <c r="C75" s="1124"/>
      <c r="D75" s="986" t="s">
        <v>74</v>
      </c>
      <c r="E75" s="1095">
        <f t="shared" ref="E75:I76" si="14">E83</f>
        <v>95520.871143375683</v>
      </c>
      <c r="F75" s="1095">
        <f t="shared" si="14"/>
        <v>95520.871143375683</v>
      </c>
      <c r="G75" s="1095">
        <f t="shared" si="14"/>
        <v>95520.871143375683</v>
      </c>
      <c r="H75" s="1095">
        <f t="shared" si="14"/>
        <v>95520.871143375683</v>
      </c>
      <c r="I75" s="1096">
        <f t="shared" si="14"/>
        <v>95520.871143375683</v>
      </c>
      <c r="J75" s="988" t="str">
        <f t="shared" si="1"/>
        <v>ICE Bio-methanol</v>
      </c>
      <c r="K75" s="1095">
        <f t="shared" ref="K75:O76" si="15">K83</f>
        <v>95520.871143375683</v>
      </c>
      <c r="L75" s="1095">
        <f t="shared" si="15"/>
        <v>95520.871143375683</v>
      </c>
      <c r="M75" s="1095">
        <f t="shared" si="15"/>
        <v>95520.871143375683</v>
      </c>
      <c r="N75" s="1095">
        <f t="shared" si="15"/>
        <v>95520.871143375683</v>
      </c>
      <c r="O75" s="1096">
        <f t="shared" si="15"/>
        <v>95520.871143375683</v>
      </c>
      <c r="P75" s="986" t="s">
        <v>74</v>
      </c>
      <c r="Q75" s="1083">
        <f>E65*E75/1000000</f>
        <v>709.58511930632596</v>
      </c>
      <c r="R75" s="1083">
        <f>F65*F75/1000000</f>
        <v>8141.0154930228</v>
      </c>
      <c r="S75" s="1083">
        <f>G65*G75/1000000</f>
        <v>8528.6982768547296</v>
      </c>
      <c r="T75" s="1083">
        <f>H65*H75/1000000</f>
        <v>8577.1854524438004</v>
      </c>
      <c r="U75" s="1084">
        <f>I65*I75/1000000</f>
        <v>8625.672628032873</v>
      </c>
      <c r="V75" s="986" t="str">
        <f t="shared" si="2"/>
        <v>ICE Bio-methanol</v>
      </c>
      <c r="W75" s="1083">
        <f t="shared" si="3"/>
        <v>0</v>
      </c>
      <c r="X75" s="1083">
        <f t="shared" si="4"/>
        <v>0</v>
      </c>
      <c r="Y75" s="1083">
        <f t="shared" si="5"/>
        <v>0</v>
      </c>
      <c r="Z75" s="1083">
        <f t="shared" si="6"/>
        <v>0</v>
      </c>
      <c r="AA75" s="1084">
        <f t="shared" si="7"/>
        <v>0</v>
      </c>
      <c r="AB75" s="986" t="s">
        <v>409</v>
      </c>
      <c r="AC75" s="1083">
        <f t="shared" ref="AC75:AG76" si="16">-PMT($E$7,$G$7,Q75,0,0)</f>
        <v>66.721965165860851</v>
      </c>
      <c r="AD75" s="1083">
        <f t="shared" si="16"/>
        <v>765.49597414219386</v>
      </c>
      <c r="AE75" s="1083">
        <f t="shared" si="16"/>
        <v>801.94960950524217</v>
      </c>
      <c r="AF75" s="1083">
        <f t="shared" si="16"/>
        <v>806.50883651356435</v>
      </c>
      <c r="AG75" s="1083">
        <f t="shared" si="16"/>
        <v>811.06806352188687</v>
      </c>
      <c r="AH75" s="986" t="str">
        <f t="shared" si="8"/>
        <v>ICE Bio-methanol</v>
      </c>
      <c r="AI75" s="1083">
        <f t="shared" si="9"/>
        <v>0</v>
      </c>
      <c r="AJ75" s="1083">
        <f t="shared" si="10"/>
        <v>0</v>
      </c>
      <c r="AK75" s="1083">
        <f t="shared" si="11"/>
        <v>0</v>
      </c>
      <c r="AL75" s="1083">
        <f t="shared" si="12"/>
        <v>0</v>
      </c>
      <c r="AM75" s="1084">
        <f t="shared" si="13"/>
        <v>0</v>
      </c>
      <c r="AN75" s="1128"/>
      <c r="AO75" s="981"/>
      <c r="AR75" s="513"/>
      <c r="AS75" s="513"/>
    </row>
    <row r="76" spans="2:46" ht="15.75" x14ac:dyDescent="0.25">
      <c r="B76" s="981"/>
      <c r="C76" s="1124"/>
      <c r="D76" s="986" t="s">
        <v>43</v>
      </c>
      <c r="E76" s="1095">
        <f t="shared" si="14"/>
        <v>85524.500907441005</v>
      </c>
      <c r="F76" s="1095">
        <f t="shared" si="14"/>
        <v>85524.500907441019</v>
      </c>
      <c r="G76" s="1095">
        <f t="shared" si="14"/>
        <v>85524.500907441019</v>
      </c>
      <c r="H76" s="1095">
        <f t="shared" si="14"/>
        <v>85524.500907441019</v>
      </c>
      <c r="I76" s="1096">
        <f t="shared" si="14"/>
        <v>85524.500907441019</v>
      </c>
      <c r="J76" s="988" t="str">
        <f t="shared" si="1"/>
        <v>ICE Bioethanol</v>
      </c>
      <c r="K76" s="1095">
        <f t="shared" si="15"/>
        <v>85524.500907441005</v>
      </c>
      <c r="L76" s="1095">
        <f t="shared" si="15"/>
        <v>85524.500907441019</v>
      </c>
      <c r="M76" s="1095">
        <f t="shared" si="15"/>
        <v>85524.500907441019</v>
      </c>
      <c r="N76" s="1095">
        <f t="shared" si="15"/>
        <v>85524.500907441019</v>
      </c>
      <c r="O76" s="1096">
        <f t="shared" si="15"/>
        <v>85524.500907441019</v>
      </c>
      <c r="P76" s="986" t="s">
        <v>43</v>
      </c>
      <c r="Q76" s="1083">
        <f>E64*E76/1000000</f>
        <v>453.3487020326678</v>
      </c>
      <c r="R76" s="1083">
        <f>F64*F76/1000000</f>
        <v>4111.0980843489133</v>
      </c>
      <c r="S76" s="1083">
        <f>G64*G76/1000000</f>
        <v>4863.9410880906826</v>
      </c>
      <c r="T76" s="1083">
        <f>H64*H76/1000000</f>
        <v>4890.7672386457652</v>
      </c>
      <c r="U76" s="1084">
        <f>I64*I76/1000000</f>
        <v>4917.5933892008479</v>
      </c>
      <c r="V76" s="986" t="str">
        <f t="shared" si="2"/>
        <v>ICE Bioethanol</v>
      </c>
      <c r="W76" s="1083">
        <f t="shared" si="3"/>
        <v>0</v>
      </c>
      <c r="X76" s="1083">
        <f t="shared" si="4"/>
        <v>0</v>
      </c>
      <c r="Y76" s="1083">
        <f t="shared" si="5"/>
        <v>0</v>
      </c>
      <c r="Z76" s="1083">
        <f t="shared" si="6"/>
        <v>0</v>
      </c>
      <c r="AA76" s="1084">
        <f t="shared" si="7"/>
        <v>0</v>
      </c>
      <c r="AB76" s="986" t="s">
        <v>43</v>
      </c>
      <c r="AC76" s="1083">
        <f t="shared" si="16"/>
        <v>42.62817170487164</v>
      </c>
      <c r="AD76" s="1083">
        <f t="shared" si="16"/>
        <v>386.56467802695101</v>
      </c>
      <c r="AE76" s="1083">
        <f t="shared" si="16"/>
        <v>457.35416233874889</v>
      </c>
      <c r="AF76" s="1083">
        <f t="shared" si="16"/>
        <v>459.87661304152027</v>
      </c>
      <c r="AG76" s="1083">
        <f t="shared" si="16"/>
        <v>462.3990637442916</v>
      </c>
      <c r="AH76" s="986" t="str">
        <f t="shared" si="8"/>
        <v>ICE Bioethanol</v>
      </c>
      <c r="AI76" s="1083">
        <f t="shared" si="9"/>
        <v>0</v>
      </c>
      <c r="AJ76" s="1083">
        <f t="shared" si="10"/>
        <v>0</v>
      </c>
      <c r="AK76" s="1083">
        <f t="shared" si="11"/>
        <v>0</v>
      </c>
      <c r="AL76" s="1083">
        <f t="shared" si="12"/>
        <v>0</v>
      </c>
      <c r="AM76" s="1084">
        <f t="shared" si="13"/>
        <v>0</v>
      </c>
      <c r="AN76" s="1128"/>
      <c r="AO76" s="981"/>
      <c r="AR76" s="513"/>
      <c r="AS76" s="513"/>
    </row>
    <row r="77" spans="2:46" ht="15.75" x14ac:dyDescent="0.25">
      <c r="B77" s="981"/>
      <c r="C77" s="1124"/>
      <c r="D77" s="986"/>
      <c r="E77" s="1081"/>
      <c r="F77" s="1081"/>
      <c r="G77" s="1081"/>
      <c r="H77" s="1081"/>
      <c r="I77" s="1082"/>
      <c r="J77" s="988" t="str">
        <f t="shared" si="1"/>
        <v>ICE Biogas</v>
      </c>
      <c r="K77" s="1069">
        <v>105517.24137931035</v>
      </c>
      <c r="L77" s="1069">
        <v>93855</v>
      </c>
      <c r="M77" s="1069">
        <v>93855</v>
      </c>
      <c r="N77" s="1069">
        <v>93855</v>
      </c>
      <c r="O77" s="1070">
        <v>93855</v>
      </c>
      <c r="P77" s="986"/>
      <c r="Q77" s="1101"/>
      <c r="R77" s="1101"/>
      <c r="S77" s="1101"/>
      <c r="T77" s="1101"/>
      <c r="U77" s="1102"/>
      <c r="V77" s="986" t="str">
        <f t="shared" si="2"/>
        <v>ICE Biogas</v>
      </c>
      <c r="W77" s="1083">
        <f t="shared" si="3"/>
        <v>0</v>
      </c>
      <c r="X77" s="1083">
        <f t="shared" si="4"/>
        <v>0</v>
      </c>
      <c r="Y77" s="1083">
        <f t="shared" si="5"/>
        <v>0</v>
      </c>
      <c r="Z77" s="1083">
        <f t="shared" si="6"/>
        <v>0</v>
      </c>
      <c r="AA77" s="1084">
        <f t="shared" si="7"/>
        <v>0</v>
      </c>
      <c r="AB77" s="986"/>
      <c r="AC77" s="1101"/>
      <c r="AD77" s="1101"/>
      <c r="AE77" s="1101"/>
      <c r="AF77" s="1101"/>
      <c r="AG77" s="1102"/>
      <c r="AH77" s="986" t="str">
        <f t="shared" si="8"/>
        <v>ICE Biogas</v>
      </c>
      <c r="AI77" s="1083">
        <f t="shared" si="9"/>
        <v>0</v>
      </c>
      <c r="AJ77" s="1083">
        <f t="shared" si="10"/>
        <v>0</v>
      </c>
      <c r="AK77" s="1083">
        <f t="shared" si="11"/>
        <v>0</v>
      </c>
      <c r="AL77" s="1083">
        <f t="shared" si="12"/>
        <v>0</v>
      </c>
      <c r="AM77" s="1084">
        <f t="shared" si="13"/>
        <v>0</v>
      </c>
      <c r="AN77" s="1128"/>
      <c r="AO77" s="981"/>
      <c r="AR77" s="513"/>
      <c r="AS77" s="513"/>
    </row>
    <row r="78" spans="2:46" ht="15.75" x14ac:dyDescent="0.25">
      <c r="B78" s="981"/>
      <c r="C78" s="1124"/>
      <c r="D78" s="986"/>
      <c r="E78" s="1081"/>
      <c r="F78" s="1081"/>
      <c r="G78" s="1081"/>
      <c r="H78" s="1081"/>
      <c r="I78" s="1082"/>
      <c r="J78" s="988" t="str">
        <f t="shared" si="1"/>
        <v>ICE hybrid vehicle Bio-methanol</v>
      </c>
      <c r="K78" s="1095">
        <f>K72*0.73+K75*0.27</f>
        <v>96331.687840290382</v>
      </c>
      <c r="L78" s="1095">
        <f>L72*0.73+L75*0.27</f>
        <v>96331.687840290382</v>
      </c>
      <c r="M78" s="1095">
        <f>M72*0.73+M75*0.27</f>
        <v>96331.687840290382</v>
      </c>
      <c r="N78" s="1095">
        <f>N72*0.73+N75*0.27</f>
        <v>96331.687840290382</v>
      </c>
      <c r="O78" s="1096">
        <f>O72*0.73+O75*0.27</f>
        <v>96331.687840290382</v>
      </c>
      <c r="P78" s="986"/>
      <c r="Q78" s="1101"/>
      <c r="R78" s="1101"/>
      <c r="S78" s="1101"/>
      <c r="T78" s="1101"/>
      <c r="U78" s="1102"/>
      <c r="V78" s="986" t="str">
        <f t="shared" si="2"/>
        <v>ICE hybrid vehicle Bio-methanol</v>
      </c>
      <c r="W78" s="1083">
        <f t="shared" si="3"/>
        <v>0</v>
      </c>
      <c r="X78" s="1083">
        <f t="shared" si="4"/>
        <v>0</v>
      </c>
      <c r="Y78" s="1083">
        <f t="shared" si="5"/>
        <v>0</v>
      </c>
      <c r="Z78" s="1083">
        <f t="shared" si="6"/>
        <v>0</v>
      </c>
      <c r="AA78" s="1084">
        <f t="shared" si="7"/>
        <v>0</v>
      </c>
      <c r="AB78" s="986"/>
      <c r="AC78" s="1101"/>
      <c r="AD78" s="1101"/>
      <c r="AE78" s="1101"/>
      <c r="AF78" s="1101"/>
      <c r="AG78" s="1102"/>
      <c r="AH78" s="986" t="str">
        <f t="shared" si="8"/>
        <v>ICE hybrid vehicle Bio-methanol</v>
      </c>
      <c r="AI78" s="1083">
        <f t="shared" si="9"/>
        <v>0</v>
      </c>
      <c r="AJ78" s="1083">
        <f t="shared" si="10"/>
        <v>0</v>
      </c>
      <c r="AK78" s="1083">
        <f t="shared" si="11"/>
        <v>0</v>
      </c>
      <c r="AL78" s="1083">
        <f t="shared" si="12"/>
        <v>0</v>
      </c>
      <c r="AM78" s="1084">
        <f t="shared" si="13"/>
        <v>0</v>
      </c>
      <c r="AN78" s="1128"/>
      <c r="AO78" s="981"/>
      <c r="AR78" s="513"/>
      <c r="AS78" s="513"/>
    </row>
    <row r="79" spans="2:46" ht="15.75" x14ac:dyDescent="0.25">
      <c r="B79" s="981"/>
      <c r="C79" s="1124"/>
      <c r="D79" s="986"/>
      <c r="E79" s="1081"/>
      <c r="F79" s="1081"/>
      <c r="G79" s="1081"/>
      <c r="H79" s="1081"/>
      <c r="I79" s="1082"/>
      <c r="J79" s="988" t="str">
        <f t="shared" si="1"/>
        <v>ICE hybrid vehicle Diesel</v>
      </c>
      <c r="K79" s="1095">
        <f>K72*0.73+K83*0.27</f>
        <v>96331.687840290382</v>
      </c>
      <c r="L79" s="1095">
        <f>L72*0.73+L83*0.27</f>
        <v>96331.687840290382</v>
      </c>
      <c r="M79" s="1095">
        <f>M72*0.73+M83*0.27</f>
        <v>96331.687840290382</v>
      </c>
      <c r="N79" s="1095">
        <f>N72*0.73+N83*0.27</f>
        <v>96331.687840290382</v>
      </c>
      <c r="O79" s="1096">
        <f>O72*0.73+O83*0.27</f>
        <v>96331.687840290382</v>
      </c>
      <c r="P79" s="986"/>
      <c r="Q79" s="1101"/>
      <c r="R79" s="1101"/>
      <c r="S79" s="1101"/>
      <c r="T79" s="1101"/>
      <c r="U79" s="1102"/>
      <c r="V79" s="986" t="str">
        <f t="shared" si="2"/>
        <v>ICE hybrid vehicle Diesel</v>
      </c>
      <c r="W79" s="1083">
        <f t="shared" si="3"/>
        <v>0</v>
      </c>
      <c r="X79" s="1083">
        <f t="shared" si="4"/>
        <v>0</v>
      </c>
      <c r="Y79" s="1083">
        <f t="shared" si="5"/>
        <v>0</v>
      </c>
      <c r="Z79" s="1083">
        <f t="shared" si="6"/>
        <v>0</v>
      </c>
      <c r="AA79" s="1084">
        <f t="shared" si="7"/>
        <v>0</v>
      </c>
      <c r="AB79" s="986"/>
      <c r="AC79" s="1101"/>
      <c r="AD79" s="1101"/>
      <c r="AE79" s="1101"/>
      <c r="AF79" s="1101"/>
      <c r="AG79" s="1102"/>
      <c r="AH79" s="986" t="str">
        <f t="shared" si="8"/>
        <v>ICE hybrid vehicle Diesel</v>
      </c>
      <c r="AI79" s="1083">
        <f t="shared" si="9"/>
        <v>0</v>
      </c>
      <c r="AJ79" s="1083">
        <f t="shared" si="10"/>
        <v>0</v>
      </c>
      <c r="AK79" s="1083">
        <f t="shared" si="11"/>
        <v>0</v>
      </c>
      <c r="AL79" s="1083">
        <f t="shared" si="12"/>
        <v>0</v>
      </c>
      <c r="AM79" s="1084">
        <f t="shared" si="13"/>
        <v>0</v>
      </c>
      <c r="AN79" s="1128"/>
      <c r="AO79" s="981"/>
      <c r="AR79" s="513"/>
      <c r="AS79" s="513"/>
    </row>
    <row r="80" spans="2:46" ht="15.75" x14ac:dyDescent="0.25">
      <c r="B80" s="981"/>
      <c r="C80" s="1124"/>
      <c r="D80" s="986"/>
      <c r="E80" s="1081"/>
      <c r="F80" s="1081"/>
      <c r="G80" s="1081"/>
      <c r="H80" s="1081"/>
      <c r="I80" s="1082"/>
      <c r="J80" s="988" t="str">
        <f t="shared" si="1"/>
        <v>ICE Plug-in hybrid vehicle Bio-methanol</v>
      </c>
      <c r="K80" s="1095">
        <f>K72*0.73+K75*0.27</f>
        <v>96331.687840290382</v>
      </c>
      <c r="L80" s="1095">
        <f>L72*0.73+L75*0.27</f>
        <v>96331.687840290382</v>
      </c>
      <c r="M80" s="1095">
        <f>M72*0.73+M75*0.27</f>
        <v>96331.687840290382</v>
      </c>
      <c r="N80" s="1095">
        <f>N72*0.73+N75*0.27</f>
        <v>96331.687840290382</v>
      </c>
      <c r="O80" s="1096">
        <f>O72*0.73+O75*0.27</f>
        <v>96331.687840290382</v>
      </c>
      <c r="P80" s="986"/>
      <c r="Q80" s="1101"/>
      <c r="R80" s="1101"/>
      <c r="S80" s="1101"/>
      <c r="T80" s="1101"/>
      <c r="U80" s="1102"/>
      <c r="V80" s="986" t="str">
        <f t="shared" si="2"/>
        <v>ICE Plug-in hybrid vehicle Bio-methanol</v>
      </c>
      <c r="W80" s="1083">
        <f t="shared" si="3"/>
        <v>0</v>
      </c>
      <c r="X80" s="1083">
        <f t="shared" si="4"/>
        <v>0</v>
      </c>
      <c r="Y80" s="1083">
        <f t="shared" si="5"/>
        <v>0</v>
      </c>
      <c r="Z80" s="1083">
        <f t="shared" si="6"/>
        <v>0</v>
      </c>
      <c r="AA80" s="1084">
        <f t="shared" si="7"/>
        <v>0</v>
      </c>
      <c r="AB80" s="986"/>
      <c r="AC80" s="1101"/>
      <c r="AD80" s="1101"/>
      <c r="AE80" s="1101"/>
      <c r="AF80" s="1101"/>
      <c r="AG80" s="1102"/>
      <c r="AH80" s="986" t="str">
        <f t="shared" si="8"/>
        <v>ICE Plug-in hybrid vehicle Bio-methanol</v>
      </c>
      <c r="AI80" s="1083">
        <f t="shared" si="9"/>
        <v>0</v>
      </c>
      <c r="AJ80" s="1083">
        <f t="shared" si="10"/>
        <v>0</v>
      </c>
      <c r="AK80" s="1083">
        <f t="shared" si="11"/>
        <v>0</v>
      </c>
      <c r="AL80" s="1083">
        <f t="shared" si="12"/>
        <v>0</v>
      </c>
      <c r="AM80" s="1084">
        <f t="shared" si="13"/>
        <v>0</v>
      </c>
      <c r="AN80" s="1128"/>
      <c r="AO80" s="981"/>
      <c r="AR80" s="513"/>
      <c r="AS80" s="513"/>
    </row>
    <row r="81" spans="2:45" ht="15.75" x14ac:dyDescent="0.25">
      <c r="B81" s="981"/>
      <c r="C81" s="1124"/>
      <c r="D81" s="986"/>
      <c r="E81" s="1081"/>
      <c r="F81" s="1081"/>
      <c r="G81" s="1081"/>
      <c r="H81" s="1081"/>
      <c r="I81" s="1082"/>
      <c r="J81" s="988" t="str">
        <f t="shared" si="1"/>
        <v>ICE Plug-in hybrid vehicle Diesel</v>
      </c>
      <c r="K81" s="1095">
        <f>K72*0.73+K83*0.27</f>
        <v>96331.687840290382</v>
      </c>
      <c r="L81" s="1095">
        <f>L72*0.73+L83*0.27</f>
        <v>96331.687840290382</v>
      </c>
      <c r="M81" s="1095">
        <f>M72*0.73+M83*0.27</f>
        <v>96331.687840290382</v>
      </c>
      <c r="N81" s="1095">
        <f>N72*0.73+N83*0.27</f>
        <v>96331.687840290382</v>
      </c>
      <c r="O81" s="1096">
        <f>O72*0.73+O83*0.27</f>
        <v>96331.687840290382</v>
      </c>
      <c r="P81" s="986"/>
      <c r="Q81" s="1101"/>
      <c r="R81" s="1101"/>
      <c r="S81" s="1101"/>
      <c r="T81" s="1101"/>
      <c r="U81" s="1102"/>
      <c r="V81" s="986" t="str">
        <f t="shared" si="2"/>
        <v>ICE Plug-in hybrid vehicle Diesel</v>
      </c>
      <c r="W81" s="1083">
        <f t="shared" si="3"/>
        <v>0</v>
      </c>
      <c r="X81" s="1083">
        <f t="shared" si="4"/>
        <v>0</v>
      </c>
      <c r="Y81" s="1083">
        <f t="shared" si="5"/>
        <v>0</v>
      </c>
      <c r="Z81" s="1083">
        <f t="shared" si="6"/>
        <v>0</v>
      </c>
      <c r="AA81" s="1084">
        <f t="shared" si="7"/>
        <v>0</v>
      </c>
      <c r="AB81" s="986"/>
      <c r="AC81" s="1101"/>
      <c r="AD81" s="1101"/>
      <c r="AE81" s="1101"/>
      <c r="AF81" s="1101"/>
      <c r="AG81" s="1102"/>
      <c r="AH81" s="986" t="str">
        <f t="shared" si="8"/>
        <v>ICE Plug-in hybrid vehicle Diesel</v>
      </c>
      <c r="AI81" s="1083">
        <f t="shared" si="9"/>
        <v>0</v>
      </c>
      <c r="AJ81" s="1083">
        <f t="shared" si="10"/>
        <v>0</v>
      </c>
      <c r="AK81" s="1083">
        <f t="shared" si="11"/>
        <v>0</v>
      </c>
      <c r="AL81" s="1083">
        <f t="shared" si="12"/>
        <v>0</v>
      </c>
      <c r="AM81" s="1084">
        <f t="shared" si="13"/>
        <v>0</v>
      </c>
      <c r="AN81" s="1128"/>
      <c r="AO81" s="981"/>
      <c r="AR81" s="513"/>
      <c r="AS81" s="513"/>
    </row>
    <row r="82" spans="2:45" ht="15.75" x14ac:dyDescent="0.25">
      <c r="B82" s="981"/>
      <c r="C82" s="1124"/>
      <c r="D82" s="986"/>
      <c r="E82" s="1081"/>
      <c r="F82" s="1081"/>
      <c r="G82" s="1081"/>
      <c r="H82" s="1081"/>
      <c r="I82" s="1082"/>
      <c r="J82" s="988" t="s">
        <v>483</v>
      </c>
      <c r="K82" s="1095">
        <f>E83</f>
        <v>95520.871143375683</v>
      </c>
      <c r="L82" s="1095">
        <f t="shared" ref="L82:O82" si="17">F83</f>
        <v>95520.871143375683</v>
      </c>
      <c r="M82" s="1095">
        <f t="shared" si="17"/>
        <v>95520.871143375683</v>
      </c>
      <c r="N82" s="1095">
        <f t="shared" si="17"/>
        <v>95520.871143375683</v>
      </c>
      <c r="O82" s="1096">
        <f t="shared" si="17"/>
        <v>95520.871143375683</v>
      </c>
      <c r="P82" s="986"/>
      <c r="Q82" s="1101"/>
      <c r="R82" s="1101"/>
      <c r="S82" s="1101"/>
      <c r="T82" s="1101"/>
      <c r="U82" s="1102"/>
      <c r="V82" s="988" t="s">
        <v>483</v>
      </c>
      <c r="W82" s="1083">
        <f t="shared" si="3"/>
        <v>0</v>
      </c>
      <c r="X82" s="1083">
        <f t="shared" si="4"/>
        <v>0</v>
      </c>
      <c r="Y82" s="1083">
        <f t="shared" si="5"/>
        <v>0</v>
      </c>
      <c r="Z82" s="1083">
        <f t="shared" si="6"/>
        <v>0</v>
      </c>
      <c r="AA82" s="1084">
        <f t="shared" si="7"/>
        <v>0</v>
      </c>
      <c r="AB82" s="986"/>
      <c r="AC82" s="1101"/>
      <c r="AD82" s="1101"/>
      <c r="AE82" s="1101"/>
      <c r="AF82" s="1101"/>
      <c r="AG82" s="1102"/>
      <c r="AH82" s="988" t="s">
        <v>483</v>
      </c>
      <c r="AI82" s="1083">
        <f t="shared" ref="AI82" si="18">-PMT($E$7,$G$7,W82,0,0)</f>
        <v>0</v>
      </c>
      <c r="AJ82" s="1083">
        <f t="shared" ref="AJ82" si="19">-PMT($E$7,$G$7,X82,0,0)</f>
        <v>0</v>
      </c>
      <c r="AK82" s="1083">
        <f t="shared" ref="AK82" si="20">-PMT($E$7,$G$7,Y82,0,0)</f>
        <v>0</v>
      </c>
      <c r="AL82" s="1083">
        <f t="shared" ref="AL82" si="21">-PMT($E$7,$G$7,Z82,0,0)</f>
        <v>0</v>
      </c>
      <c r="AM82" s="1084">
        <f t="shared" ref="AM82" si="22">-PMT($E$7,$G$7,AA82,0,0)</f>
        <v>0</v>
      </c>
      <c r="AN82" s="1128"/>
      <c r="AO82" s="981"/>
      <c r="AR82" s="513"/>
      <c r="AS82" s="513"/>
    </row>
    <row r="83" spans="2:45" ht="15.75" x14ac:dyDescent="0.25">
      <c r="B83" s="981"/>
      <c r="C83" s="1124"/>
      <c r="D83" s="986" t="s">
        <v>3</v>
      </c>
      <c r="E83" s="1083">
        <v>95520.871143375683</v>
      </c>
      <c r="F83" s="1083">
        <v>95520.871143375683</v>
      </c>
      <c r="G83" s="1083">
        <v>95520.871143375683</v>
      </c>
      <c r="H83" s="1083">
        <v>95520.871143375683</v>
      </c>
      <c r="I83" s="1084">
        <v>95520.871143375683</v>
      </c>
      <c r="J83" s="988" t="str">
        <f t="shared" ref="J83:J87" si="23">J127</f>
        <v>ICE Diesel</v>
      </c>
      <c r="K83" s="1095">
        <f t="shared" ref="K83:O84" si="24">E83</f>
        <v>95520.871143375683</v>
      </c>
      <c r="L83" s="1095">
        <f t="shared" si="24"/>
        <v>95520.871143375683</v>
      </c>
      <c r="M83" s="1095">
        <f t="shared" si="24"/>
        <v>95520.871143375683</v>
      </c>
      <c r="N83" s="1095">
        <f t="shared" si="24"/>
        <v>95520.871143375683</v>
      </c>
      <c r="O83" s="1096">
        <f t="shared" si="24"/>
        <v>95520.871143375683</v>
      </c>
      <c r="P83" s="986"/>
      <c r="Q83" s="1101"/>
      <c r="R83" s="1101"/>
      <c r="S83" s="1101"/>
      <c r="T83" s="1101"/>
      <c r="U83" s="1102"/>
      <c r="V83" s="986" t="str">
        <f t="shared" ref="V83:V88" si="25">J127</f>
        <v>ICE Diesel</v>
      </c>
      <c r="W83" s="1083">
        <f t="shared" si="3"/>
        <v>0</v>
      </c>
      <c r="X83" s="1083">
        <f t="shared" si="4"/>
        <v>0</v>
      </c>
      <c r="Y83" s="1083">
        <f t="shared" si="5"/>
        <v>0</v>
      </c>
      <c r="Z83" s="1083">
        <f t="shared" si="6"/>
        <v>0</v>
      </c>
      <c r="AA83" s="1084">
        <f t="shared" si="7"/>
        <v>0</v>
      </c>
      <c r="AB83" s="986"/>
      <c r="AC83" s="1101"/>
      <c r="AD83" s="1101"/>
      <c r="AE83" s="1101"/>
      <c r="AF83" s="1101"/>
      <c r="AG83" s="1102"/>
      <c r="AH83" s="986" t="str">
        <f t="shared" si="8"/>
        <v>ICE Diesel</v>
      </c>
      <c r="AI83" s="1083">
        <f t="shared" si="9"/>
        <v>0</v>
      </c>
      <c r="AJ83" s="1083">
        <f t="shared" si="10"/>
        <v>0</v>
      </c>
      <c r="AK83" s="1083">
        <f t="shared" si="11"/>
        <v>0</v>
      </c>
      <c r="AL83" s="1083">
        <f t="shared" si="12"/>
        <v>0</v>
      </c>
      <c r="AM83" s="1084">
        <f t="shared" si="13"/>
        <v>0</v>
      </c>
      <c r="AN83" s="1128"/>
      <c r="AO83" s="981"/>
      <c r="AR83" s="513"/>
      <c r="AS83" s="513"/>
    </row>
    <row r="84" spans="2:45" ht="15.75" x14ac:dyDescent="0.25">
      <c r="B84" s="981"/>
      <c r="C84" s="1124"/>
      <c r="D84" s="986" t="s">
        <v>41</v>
      </c>
      <c r="E84" s="1083">
        <v>85524.500907441005</v>
      </c>
      <c r="F84" s="1083">
        <v>85524.500907441019</v>
      </c>
      <c r="G84" s="1083">
        <v>85524.500907441019</v>
      </c>
      <c r="H84" s="1083">
        <v>85524.500907441019</v>
      </c>
      <c r="I84" s="1084">
        <v>85524.500907441019</v>
      </c>
      <c r="J84" s="988" t="str">
        <f t="shared" si="23"/>
        <v>ICE Petrol</v>
      </c>
      <c r="K84" s="1095">
        <f t="shared" si="24"/>
        <v>85524.500907441005</v>
      </c>
      <c r="L84" s="1095">
        <f t="shared" si="24"/>
        <v>85524.500907441019</v>
      </c>
      <c r="M84" s="1095">
        <f t="shared" si="24"/>
        <v>85524.500907441019</v>
      </c>
      <c r="N84" s="1095">
        <f t="shared" si="24"/>
        <v>85524.500907441019</v>
      </c>
      <c r="O84" s="1096">
        <f t="shared" si="24"/>
        <v>85524.500907441019</v>
      </c>
      <c r="P84" s="986"/>
      <c r="Q84" s="1101"/>
      <c r="R84" s="1101"/>
      <c r="S84" s="1101"/>
      <c r="T84" s="1101"/>
      <c r="U84" s="1102"/>
      <c r="V84" s="986" t="str">
        <f t="shared" si="25"/>
        <v>ICE Petrol</v>
      </c>
      <c r="W84" s="1083">
        <f t="shared" si="3"/>
        <v>0</v>
      </c>
      <c r="X84" s="1083">
        <f t="shared" si="4"/>
        <v>0</v>
      </c>
      <c r="Y84" s="1083">
        <f t="shared" si="5"/>
        <v>0</v>
      </c>
      <c r="Z84" s="1083">
        <f t="shared" si="6"/>
        <v>0</v>
      </c>
      <c r="AA84" s="1084">
        <f t="shared" si="7"/>
        <v>0</v>
      </c>
      <c r="AB84" s="986"/>
      <c r="AC84" s="1101"/>
      <c r="AD84" s="1101"/>
      <c r="AE84" s="1101"/>
      <c r="AF84" s="1101"/>
      <c r="AG84" s="1102"/>
      <c r="AH84" s="986" t="str">
        <f t="shared" si="8"/>
        <v>ICE Petrol</v>
      </c>
      <c r="AI84" s="1083">
        <f t="shared" si="9"/>
        <v>0</v>
      </c>
      <c r="AJ84" s="1083">
        <f t="shared" si="10"/>
        <v>0</v>
      </c>
      <c r="AK84" s="1083">
        <f t="shared" si="11"/>
        <v>0</v>
      </c>
      <c r="AL84" s="1083">
        <f t="shared" si="12"/>
        <v>0</v>
      </c>
      <c r="AM84" s="1084">
        <f t="shared" si="13"/>
        <v>0</v>
      </c>
      <c r="AN84" s="1128"/>
      <c r="AO84" s="981"/>
      <c r="AR84" s="513"/>
      <c r="AS84" s="513"/>
    </row>
    <row r="85" spans="2:45" ht="15.75" x14ac:dyDescent="0.25">
      <c r="B85" s="981"/>
      <c r="C85" s="1124"/>
      <c r="D85" s="986"/>
      <c r="E85" s="1081"/>
      <c r="F85" s="1081"/>
      <c r="G85" s="1081"/>
      <c r="H85" s="1081"/>
      <c r="I85" s="1082"/>
      <c r="J85" s="988" t="str">
        <f t="shared" si="23"/>
        <v>ICE Syn-methanol</v>
      </c>
      <c r="K85" s="1095">
        <f>K75</f>
        <v>95520.871143375683</v>
      </c>
      <c r="L85" s="1095">
        <f>L75</f>
        <v>95520.871143375683</v>
      </c>
      <c r="M85" s="1095">
        <f>M75</f>
        <v>95520.871143375683</v>
      </c>
      <c r="N85" s="1095">
        <f>N75</f>
        <v>95520.871143375683</v>
      </c>
      <c r="O85" s="1096">
        <f>O75</f>
        <v>95520.871143375683</v>
      </c>
      <c r="P85" s="986"/>
      <c r="Q85" s="1101"/>
      <c r="R85" s="1101"/>
      <c r="S85" s="1101"/>
      <c r="T85" s="1101"/>
      <c r="U85" s="1102"/>
      <c r="V85" s="986" t="str">
        <f t="shared" si="25"/>
        <v>ICE Syn-methanol</v>
      </c>
      <c r="W85" s="1083">
        <f t="shared" si="3"/>
        <v>0</v>
      </c>
      <c r="X85" s="1083">
        <f t="shared" si="4"/>
        <v>0</v>
      </c>
      <c r="Y85" s="1083">
        <f t="shared" si="5"/>
        <v>0</v>
      </c>
      <c r="Z85" s="1083">
        <f t="shared" si="6"/>
        <v>0</v>
      </c>
      <c r="AA85" s="1084">
        <f t="shared" si="7"/>
        <v>0</v>
      </c>
      <c r="AB85" s="986"/>
      <c r="AC85" s="1101"/>
      <c r="AD85" s="1101"/>
      <c r="AE85" s="1101"/>
      <c r="AF85" s="1101"/>
      <c r="AG85" s="1102"/>
      <c r="AH85" s="986" t="str">
        <f t="shared" si="8"/>
        <v>ICE Syn-methanol</v>
      </c>
      <c r="AI85" s="1083">
        <f t="shared" si="9"/>
        <v>0</v>
      </c>
      <c r="AJ85" s="1083">
        <f t="shared" si="10"/>
        <v>0</v>
      </c>
      <c r="AK85" s="1083">
        <f t="shared" si="11"/>
        <v>0</v>
      </c>
      <c r="AL85" s="1083">
        <f t="shared" si="12"/>
        <v>0</v>
      </c>
      <c r="AM85" s="1084">
        <f t="shared" si="13"/>
        <v>0</v>
      </c>
      <c r="AN85" s="1128"/>
      <c r="AO85" s="981"/>
      <c r="AR85" s="513"/>
      <c r="AS85" s="513"/>
    </row>
    <row r="86" spans="2:45" ht="15.75" x14ac:dyDescent="0.25">
      <c r="B86" s="981"/>
      <c r="C86" s="1124"/>
      <c r="D86" s="1004"/>
      <c r="E86" s="1081"/>
      <c r="F86" s="1081"/>
      <c r="G86" s="1081"/>
      <c r="H86" s="1081"/>
      <c r="I86" s="1082"/>
      <c r="J86" s="988" t="str">
        <f t="shared" si="23"/>
        <v>ICE hybrid vehicle Syn-methanol</v>
      </c>
      <c r="K86" s="1095">
        <f>K72*0.73+K85*0.27</f>
        <v>96331.687840290382</v>
      </c>
      <c r="L86" s="1095">
        <f>L72*0.73+L85*0.27</f>
        <v>96331.687840290382</v>
      </c>
      <c r="M86" s="1095">
        <f>M72*0.73+M85*0.27</f>
        <v>96331.687840290382</v>
      </c>
      <c r="N86" s="1095">
        <f>N72*0.73+N85*0.27</f>
        <v>96331.687840290382</v>
      </c>
      <c r="O86" s="1096">
        <f>O72*0.73+O85*0.27</f>
        <v>96331.687840290382</v>
      </c>
      <c r="P86" s="986" t="s">
        <v>3</v>
      </c>
      <c r="Q86" s="1083">
        <f t="shared" ref="Q86:U87" si="26">E62*E83/1000000</f>
        <v>77269.355642944138</v>
      </c>
      <c r="R86" s="1083">
        <f t="shared" si="26"/>
        <v>133751.14252640886</v>
      </c>
      <c r="S86" s="1083">
        <f t="shared" si="26"/>
        <v>163806.77631389696</v>
      </c>
      <c r="T86" s="1083">
        <f t="shared" si="26"/>
        <v>195167.54009594111</v>
      </c>
      <c r="U86" s="1084">
        <f t="shared" si="26"/>
        <v>226528.30387798522</v>
      </c>
      <c r="V86" s="986" t="str">
        <f t="shared" si="25"/>
        <v>ICE hybrid vehicle Syn-methanol</v>
      </c>
      <c r="W86" s="1083">
        <f t="shared" si="3"/>
        <v>0</v>
      </c>
      <c r="X86" s="1083">
        <f t="shared" si="4"/>
        <v>0</v>
      </c>
      <c r="Y86" s="1083">
        <f t="shared" si="5"/>
        <v>0</v>
      </c>
      <c r="Z86" s="1083">
        <f t="shared" si="6"/>
        <v>0</v>
      </c>
      <c r="AA86" s="1084">
        <f t="shared" si="7"/>
        <v>0</v>
      </c>
      <c r="AB86" s="986" t="s">
        <v>3</v>
      </c>
      <c r="AC86" s="1083">
        <f t="shared" ref="AC86:AG87" si="27">-PMT($E$7,$G$7,Q86,0,0)</f>
        <v>7265.6022728280896</v>
      </c>
      <c r="AD86" s="1083">
        <f t="shared" si="27"/>
        <v>12576.558935262305</v>
      </c>
      <c r="AE86" s="1083">
        <f t="shared" si="27"/>
        <v>15402.676473588159</v>
      </c>
      <c r="AF86" s="1083">
        <f t="shared" si="27"/>
        <v>18351.514790104538</v>
      </c>
      <c r="AG86" s="1083">
        <f t="shared" si="27"/>
        <v>21300.353106620914</v>
      </c>
      <c r="AH86" s="986" t="str">
        <f t="shared" si="8"/>
        <v>ICE hybrid vehicle Syn-methanol</v>
      </c>
      <c r="AI86" s="1083">
        <f t="shared" si="9"/>
        <v>0</v>
      </c>
      <c r="AJ86" s="1083">
        <f t="shared" si="10"/>
        <v>0</v>
      </c>
      <c r="AK86" s="1083">
        <f t="shared" si="11"/>
        <v>0</v>
      </c>
      <c r="AL86" s="1083">
        <f t="shared" si="12"/>
        <v>0</v>
      </c>
      <c r="AM86" s="1084">
        <f t="shared" si="13"/>
        <v>0</v>
      </c>
      <c r="AN86" s="1128"/>
      <c r="AO86" s="981"/>
      <c r="AR86" s="513"/>
      <c r="AS86" s="513"/>
    </row>
    <row r="87" spans="2:45" ht="15.75" x14ac:dyDescent="0.25">
      <c r="B87" s="981"/>
      <c r="C87" s="1124"/>
      <c r="D87" s="1004"/>
      <c r="E87" s="1081"/>
      <c r="F87" s="1081"/>
      <c r="G87" s="1081"/>
      <c r="H87" s="1081"/>
      <c r="I87" s="1082"/>
      <c r="J87" s="988" t="str">
        <f t="shared" si="23"/>
        <v>ICE Plug-in hybrid vehicle Syn-methanol</v>
      </c>
      <c r="K87" s="1095">
        <f>K80</f>
        <v>96331.687840290382</v>
      </c>
      <c r="L87" s="1095">
        <f>L80</f>
        <v>96331.687840290382</v>
      </c>
      <c r="M87" s="1095">
        <f>M80</f>
        <v>96331.687840290382</v>
      </c>
      <c r="N87" s="1095">
        <f>N80</f>
        <v>96331.687840290382</v>
      </c>
      <c r="O87" s="1096">
        <f>O80</f>
        <v>96331.687840290382</v>
      </c>
      <c r="P87" s="986" t="s">
        <v>41</v>
      </c>
      <c r="Q87" s="1083">
        <f t="shared" si="26"/>
        <v>150581.0383614882</v>
      </c>
      <c r="R87" s="1083">
        <f t="shared" si="26"/>
        <v>117571.81306687827</v>
      </c>
      <c r="S87" s="1083">
        <f t="shared" si="26"/>
        <v>120547.43049615635</v>
      </c>
      <c r="T87" s="1083">
        <f t="shared" si="26"/>
        <v>97362.404993984557</v>
      </c>
      <c r="U87" s="1084">
        <f t="shared" si="26"/>
        <v>74177.379491812797</v>
      </c>
      <c r="V87" s="986" t="str">
        <f t="shared" si="25"/>
        <v>ICE Plug-in hybrid vehicle Syn-methanol</v>
      </c>
      <c r="W87" s="1083">
        <f t="shared" si="3"/>
        <v>0</v>
      </c>
      <c r="X87" s="1083">
        <f t="shared" si="4"/>
        <v>0</v>
      </c>
      <c r="Y87" s="1083">
        <f t="shared" si="5"/>
        <v>0</v>
      </c>
      <c r="Z87" s="1083">
        <f t="shared" si="6"/>
        <v>0</v>
      </c>
      <c r="AA87" s="1084">
        <f t="shared" si="7"/>
        <v>0</v>
      </c>
      <c r="AB87" s="986" t="s">
        <v>41</v>
      </c>
      <c r="AC87" s="1083">
        <f t="shared" si="27"/>
        <v>14159.06636545049</v>
      </c>
      <c r="AD87" s="1083">
        <f t="shared" si="27"/>
        <v>11055.223964679639</v>
      </c>
      <c r="AE87" s="1083">
        <f t="shared" si="27"/>
        <v>11335.019914540182</v>
      </c>
      <c r="AF87" s="1083">
        <f t="shared" si="27"/>
        <v>9154.9425399783195</v>
      </c>
      <c r="AG87" s="1083">
        <f t="shared" si="27"/>
        <v>6974.8651654164587</v>
      </c>
      <c r="AH87" s="986" t="str">
        <f t="shared" si="8"/>
        <v>ICE Plug-in hybrid vehicle Syn-methanol</v>
      </c>
      <c r="AI87" s="1083">
        <f t="shared" si="9"/>
        <v>0</v>
      </c>
      <c r="AJ87" s="1083">
        <f t="shared" si="10"/>
        <v>0</v>
      </c>
      <c r="AK87" s="1083">
        <f t="shared" si="11"/>
        <v>0</v>
      </c>
      <c r="AL87" s="1083">
        <f t="shared" si="12"/>
        <v>0</v>
      </c>
      <c r="AM87" s="1084">
        <f t="shared" si="13"/>
        <v>0</v>
      </c>
      <c r="AN87" s="1128"/>
      <c r="AO87" s="981"/>
      <c r="AR87" s="513"/>
      <c r="AS87" s="513"/>
    </row>
    <row r="88" spans="2:45" ht="16.5" thickBot="1" x14ac:dyDescent="0.3">
      <c r="B88" s="981"/>
      <c r="C88" s="1124"/>
      <c r="D88" s="994"/>
      <c r="E88" s="1085"/>
      <c r="F88" s="1085"/>
      <c r="G88" s="1085"/>
      <c r="H88" s="1085"/>
      <c r="I88" s="1086"/>
      <c r="J88" s="994" t="s">
        <v>57</v>
      </c>
      <c r="K88" s="1097">
        <f>Q89/E67*1000000</f>
        <v>88672.711738604703</v>
      </c>
      <c r="L88" s="1097">
        <f>R89/F67*1000000</f>
        <v>90630.39740933213</v>
      </c>
      <c r="M88" s="1097">
        <f>S89/G67*1000000</f>
        <v>91038.90513986563</v>
      </c>
      <c r="N88" s="1097">
        <f>T89/H67*1000000</f>
        <v>91930.25804601713</v>
      </c>
      <c r="O88" s="1098">
        <f>U89/I67*1000000</f>
        <v>92791.057771340536</v>
      </c>
      <c r="P88" s="994"/>
      <c r="Q88" s="1103"/>
      <c r="R88" s="1103"/>
      <c r="S88" s="1103"/>
      <c r="T88" s="1103"/>
      <c r="U88" s="1104"/>
      <c r="V88" s="994" t="str">
        <f t="shared" si="25"/>
        <v>No shift in technology</v>
      </c>
      <c r="W88" s="1091">
        <f t="shared" si="3"/>
        <v>229013.32782577132</v>
      </c>
      <c r="X88" s="1091">
        <f t="shared" si="4"/>
        <v>263575.06917065883</v>
      </c>
      <c r="Y88" s="1091">
        <f t="shared" si="5"/>
        <v>297746.84617499873</v>
      </c>
      <c r="Z88" s="1091">
        <f t="shared" si="6"/>
        <v>305997.89778101526</v>
      </c>
      <c r="AA88" s="1092">
        <f t="shared" si="7"/>
        <v>314248.94938703167</v>
      </c>
      <c r="AB88" s="994"/>
      <c r="AC88" s="1103"/>
      <c r="AD88" s="1103"/>
      <c r="AE88" s="1103"/>
      <c r="AF88" s="1103"/>
      <c r="AG88" s="1104"/>
      <c r="AH88" s="994" t="str">
        <f t="shared" si="8"/>
        <v>No shift in technology</v>
      </c>
      <c r="AI88" s="1091">
        <f t="shared" si="9"/>
        <v>21534.018775149314</v>
      </c>
      <c r="AJ88" s="1091">
        <f t="shared" si="10"/>
        <v>24783.843552111088</v>
      </c>
      <c r="AK88" s="1091">
        <f t="shared" si="11"/>
        <v>27997.000159972336</v>
      </c>
      <c r="AL88" s="1091">
        <f t="shared" si="12"/>
        <v>28772.842779637947</v>
      </c>
      <c r="AM88" s="1092">
        <f t="shared" si="13"/>
        <v>29548.685399303544</v>
      </c>
      <c r="AN88" s="1128"/>
      <c r="AO88" s="981"/>
      <c r="AR88" s="513"/>
      <c r="AS88" s="513"/>
    </row>
    <row r="89" spans="2:45" ht="17.25" thickTop="1" thickBot="1" x14ac:dyDescent="0.3">
      <c r="B89" s="981"/>
      <c r="C89" s="1124"/>
      <c r="D89" s="996"/>
      <c r="E89" s="1087"/>
      <c r="F89" s="1087"/>
      <c r="G89" s="1087"/>
      <c r="H89" s="1087"/>
      <c r="I89" s="1088"/>
      <c r="J89" s="996"/>
      <c r="K89" s="997"/>
      <c r="L89" s="997"/>
      <c r="M89" s="997"/>
      <c r="N89" s="997"/>
      <c r="O89" s="998"/>
      <c r="P89" s="996" t="s">
        <v>60</v>
      </c>
      <c r="Q89" s="1087">
        <f>SUM(Q72:Q88)</f>
        <v>229013.32782577135</v>
      </c>
      <c r="R89" s="1087">
        <f>SUM(R72:R88)</f>
        <v>263575.06917065883</v>
      </c>
      <c r="S89" s="1087">
        <f>SUM(S72:S88)</f>
        <v>297746.84617499873</v>
      </c>
      <c r="T89" s="1087">
        <f>SUM(T72:T88)</f>
        <v>305997.89778101526</v>
      </c>
      <c r="U89" s="1088">
        <f>SUM(U72:U88)</f>
        <v>314248.94938703172</v>
      </c>
      <c r="V89" s="996" t="s">
        <v>60</v>
      </c>
      <c r="W89" s="1087">
        <f>SUM(W72:W88)</f>
        <v>229013.32782577132</v>
      </c>
      <c r="X89" s="1087">
        <f>SUM(X72:X88)</f>
        <v>263575.06917065883</v>
      </c>
      <c r="Y89" s="1087">
        <f>SUM(Y72:Y88)</f>
        <v>297746.84617499873</v>
      </c>
      <c r="Z89" s="1087">
        <f>SUM(Z72:Z88)</f>
        <v>305997.89778101526</v>
      </c>
      <c r="AA89" s="1088">
        <f>SUM(AA72:AA88)</f>
        <v>314248.94938703167</v>
      </c>
      <c r="AB89" s="996" t="s">
        <v>60</v>
      </c>
      <c r="AC89" s="1087">
        <f>SUM(AC72:AC88)</f>
        <v>21534.01877514931</v>
      </c>
      <c r="AD89" s="1087">
        <f>SUM(AD72:AD88)</f>
        <v>24783.843552111088</v>
      </c>
      <c r="AE89" s="1087">
        <f>SUM(AE72:AE88)</f>
        <v>27997.000159972333</v>
      </c>
      <c r="AF89" s="1087">
        <f>SUM(AF72:AF88)</f>
        <v>28772.84277963794</v>
      </c>
      <c r="AG89" s="1088">
        <f>SUM(AG72:AG88)</f>
        <v>29548.685399303555</v>
      </c>
      <c r="AH89" s="996" t="s">
        <v>60</v>
      </c>
      <c r="AI89" s="1087">
        <f>SUM(AI72:AI88)</f>
        <v>21534.018775149314</v>
      </c>
      <c r="AJ89" s="1087">
        <f>SUM(AJ72:AJ88)</f>
        <v>24783.843552111088</v>
      </c>
      <c r="AK89" s="1087">
        <f>SUM(AK72:AK88)</f>
        <v>27997.000159972336</v>
      </c>
      <c r="AL89" s="1087">
        <f>SUM(AL72:AL88)</f>
        <v>28772.842779637947</v>
      </c>
      <c r="AM89" s="1088">
        <f>SUM(AM72:AM88)</f>
        <v>29548.685399303544</v>
      </c>
      <c r="AN89" s="1128"/>
      <c r="AO89" s="981"/>
      <c r="AR89" s="513"/>
      <c r="AS89" s="513"/>
    </row>
    <row r="90" spans="2:45" s="4" customFormat="1" ht="15.75" x14ac:dyDescent="0.25">
      <c r="B90" s="981"/>
      <c r="C90" s="1124"/>
      <c r="D90" s="1129"/>
      <c r="E90" s="1128"/>
      <c r="F90" s="1128"/>
      <c r="G90" s="1128"/>
      <c r="H90" s="1128"/>
      <c r="I90" s="1128"/>
      <c r="J90" s="1129"/>
      <c r="K90" s="1128"/>
      <c r="L90" s="1128"/>
      <c r="M90" s="1128"/>
      <c r="N90" s="1128"/>
      <c r="O90" s="1128"/>
      <c r="P90" s="1129"/>
      <c r="Q90" s="1128"/>
      <c r="R90" s="1128"/>
      <c r="S90" s="1128"/>
      <c r="T90" s="1128"/>
      <c r="U90" s="1128"/>
      <c r="V90" s="1129"/>
      <c r="W90" s="1128"/>
      <c r="X90" s="1128"/>
      <c r="Y90" s="1128"/>
      <c r="Z90" s="1128"/>
      <c r="AA90" s="1128"/>
      <c r="AB90" s="1129"/>
      <c r="AC90" s="1128"/>
      <c r="AD90" s="1128"/>
      <c r="AE90" s="1128"/>
      <c r="AF90" s="1128"/>
      <c r="AG90" s="1128"/>
      <c r="AH90" s="1129"/>
      <c r="AI90" s="1128"/>
      <c r="AJ90" s="1128"/>
      <c r="AK90" s="1128"/>
      <c r="AL90" s="1128"/>
      <c r="AM90" s="1128"/>
      <c r="AN90" s="1128"/>
      <c r="AO90" s="981"/>
      <c r="AR90" s="1007"/>
      <c r="AS90" s="1007"/>
    </row>
    <row r="91" spans="2:45" s="4" customFormat="1" ht="16.5" thickBot="1" x14ac:dyDescent="0.3">
      <c r="B91" s="981"/>
      <c r="C91" s="1124"/>
      <c r="D91" s="1129"/>
      <c r="E91" s="1128"/>
      <c r="F91" s="1128"/>
      <c r="G91" s="1128"/>
      <c r="H91" s="1128"/>
      <c r="I91" s="1128"/>
      <c r="J91" s="1129"/>
      <c r="K91" s="1128"/>
      <c r="L91" s="1128"/>
      <c r="M91" s="1128"/>
      <c r="N91" s="1128"/>
      <c r="O91" s="1128"/>
      <c r="P91" s="1129"/>
      <c r="Q91" s="1128"/>
      <c r="R91" s="1128"/>
      <c r="S91" s="1128"/>
      <c r="T91" s="1128"/>
      <c r="U91" s="1128"/>
      <c r="V91" s="1129"/>
      <c r="W91" s="1128"/>
      <c r="X91" s="1128"/>
      <c r="Y91" s="1128"/>
      <c r="Z91" s="1128"/>
      <c r="AA91" s="1128"/>
      <c r="AB91" s="1129"/>
      <c r="AC91" s="1128"/>
      <c r="AD91" s="1128"/>
      <c r="AE91" s="1128"/>
      <c r="AF91" s="1128"/>
      <c r="AG91" s="1128"/>
      <c r="AH91" s="1129"/>
      <c r="AI91" s="1128"/>
      <c r="AJ91" s="1128"/>
      <c r="AK91" s="1128"/>
      <c r="AL91" s="1128"/>
      <c r="AM91" s="1128"/>
      <c r="AN91" s="1128"/>
      <c r="AO91" s="981"/>
      <c r="AR91" s="1007"/>
      <c r="AS91" s="1007"/>
    </row>
    <row r="92" spans="2:45" x14ac:dyDescent="0.25">
      <c r="B92" s="981"/>
      <c r="C92" s="1124"/>
      <c r="D92" s="2020" t="s">
        <v>183</v>
      </c>
      <c r="E92" s="2021"/>
      <c r="F92" s="2021"/>
      <c r="G92" s="2021"/>
      <c r="H92" s="2021"/>
      <c r="I92" s="2022"/>
      <c r="J92" s="2017" t="s">
        <v>183</v>
      </c>
      <c r="K92" s="2018"/>
      <c r="L92" s="2018"/>
      <c r="M92" s="2018"/>
      <c r="N92" s="2018"/>
      <c r="O92" s="2019"/>
      <c r="P92" s="2020" t="s">
        <v>190</v>
      </c>
      <c r="Q92" s="2021">
        <v>2010</v>
      </c>
      <c r="R92" s="2021">
        <v>2020</v>
      </c>
      <c r="S92" s="2021">
        <v>2030</v>
      </c>
      <c r="T92" s="2021">
        <v>2040</v>
      </c>
      <c r="U92" s="2022">
        <v>2050</v>
      </c>
      <c r="V92" s="2017" t="s">
        <v>190</v>
      </c>
      <c r="W92" s="2018">
        <v>2010</v>
      </c>
      <c r="X92" s="2018">
        <v>2020</v>
      </c>
      <c r="Y92" s="2018">
        <v>2030</v>
      </c>
      <c r="Z92" s="2018">
        <v>2040</v>
      </c>
      <c r="AA92" s="2019">
        <v>2050</v>
      </c>
      <c r="AB92" s="1124"/>
      <c r="AC92" s="1124"/>
      <c r="AD92" s="1124"/>
      <c r="AE92" s="1124"/>
      <c r="AF92" s="1124"/>
      <c r="AG92" s="1124"/>
      <c r="AH92" s="1124"/>
      <c r="AI92" s="1124"/>
      <c r="AJ92" s="1124"/>
      <c r="AK92" s="1124"/>
      <c r="AL92" s="1124"/>
      <c r="AM92" s="1124"/>
      <c r="AN92" s="1124"/>
      <c r="AO92" s="981"/>
      <c r="AR92" s="513"/>
      <c r="AS92" s="513"/>
    </row>
    <row r="93" spans="2:45" ht="15.75" thickBot="1" x14ac:dyDescent="0.3">
      <c r="B93" s="981"/>
      <c r="C93" s="1124"/>
      <c r="D93" s="971" t="s">
        <v>180</v>
      </c>
      <c r="E93" s="983">
        <v>2010</v>
      </c>
      <c r="F93" s="983">
        <v>2020</v>
      </c>
      <c r="G93" s="983">
        <v>2030</v>
      </c>
      <c r="H93" s="983">
        <v>2040</v>
      </c>
      <c r="I93" s="984">
        <v>2050</v>
      </c>
      <c r="J93" s="971" t="s">
        <v>180</v>
      </c>
      <c r="K93" s="983">
        <v>2010</v>
      </c>
      <c r="L93" s="983">
        <v>2020</v>
      </c>
      <c r="M93" s="983">
        <v>2030</v>
      </c>
      <c r="N93" s="983">
        <v>2040</v>
      </c>
      <c r="O93" s="984">
        <v>2050</v>
      </c>
      <c r="P93" s="971" t="s">
        <v>391</v>
      </c>
      <c r="Q93" s="983">
        <v>2010</v>
      </c>
      <c r="R93" s="983">
        <v>2020</v>
      </c>
      <c r="S93" s="983">
        <v>2030</v>
      </c>
      <c r="T93" s="983">
        <v>2040</v>
      </c>
      <c r="U93" s="984">
        <v>2050</v>
      </c>
      <c r="V93" s="971" t="s">
        <v>391</v>
      </c>
      <c r="W93" s="983">
        <v>2010</v>
      </c>
      <c r="X93" s="983">
        <v>2020</v>
      </c>
      <c r="Y93" s="983">
        <v>2030</v>
      </c>
      <c r="Z93" s="983">
        <v>2040</v>
      </c>
      <c r="AA93" s="984">
        <v>2050</v>
      </c>
      <c r="AB93" s="1124"/>
      <c r="AC93" s="1124"/>
      <c r="AD93" s="1124"/>
      <c r="AE93" s="1124"/>
      <c r="AF93" s="1124"/>
      <c r="AG93" s="1124"/>
      <c r="AH93" s="1124"/>
      <c r="AI93" s="1124"/>
      <c r="AJ93" s="1124"/>
      <c r="AK93" s="1124"/>
      <c r="AL93" s="1124"/>
      <c r="AM93" s="1124"/>
      <c r="AN93" s="1124"/>
      <c r="AO93" s="981"/>
      <c r="AR93" s="513"/>
      <c r="AS93" s="513"/>
    </row>
    <row r="94" spans="2:45" ht="15.75" x14ac:dyDescent="0.25">
      <c r="B94" s="981"/>
      <c r="C94" s="1124"/>
      <c r="D94" s="1000"/>
      <c r="E94" s="968"/>
      <c r="F94" s="968"/>
      <c r="G94" s="968"/>
      <c r="H94" s="968"/>
      <c r="I94" s="969"/>
      <c r="J94" s="999" t="str">
        <f t="shared" ref="J94:J103" si="28">J72</f>
        <v>Battery electric vehicles</v>
      </c>
      <c r="K94" s="1008">
        <v>0.20097036962385445</v>
      </c>
      <c r="L94" s="1008">
        <v>0.11164714075377483</v>
      </c>
      <c r="M94" s="1008">
        <v>0.11164714075377483</v>
      </c>
      <c r="N94" s="1008">
        <v>0.11164714075377483</v>
      </c>
      <c r="O94" s="1009">
        <v>0.11164714075377483</v>
      </c>
      <c r="P94" s="1000"/>
      <c r="Q94" s="1099"/>
      <c r="R94" s="1099"/>
      <c r="S94" s="1099"/>
      <c r="T94" s="1099"/>
      <c r="U94" s="1099"/>
      <c r="V94" s="999" t="str">
        <f t="shared" ref="V94:V103" si="29">AH72</f>
        <v>Battery electric vehicles</v>
      </c>
      <c r="W94" s="1089">
        <f t="shared" ref="W94:W110" si="30">K94*W72</f>
        <v>0</v>
      </c>
      <c r="X94" s="1089">
        <f t="shared" ref="X94:X110" si="31">L94*X72</f>
        <v>0</v>
      </c>
      <c r="Y94" s="1089">
        <f t="shared" ref="Y94:Y110" si="32">M94*Y72</f>
        <v>0</v>
      </c>
      <c r="Z94" s="1089">
        <f t="shared" ref="Z94:Z110" si="33">N94*Z72</f>
        <v>0</v>
      </c>
      <c r="AA94" s="1090">
        <f t="shared" ref="AA94:AA110" si="34">O94*AA72</f>
        <v>0</v>
      </c>
      <c r="AB94" s="1124"/>
      <c r="AC94" s="1124"/>
      <c r="AD94" s="1124"/>
      <c r="AE94" s="1124"/>
      <c r="AF94" s="1124"/>
      <c r="AG94" s="1124"/>
      <c r="AH94" s="1124"/>
      <c r="AI94" s="1124"/>
      <c r="AJ94" s="1124"/>
      <c r="AK94" s="1124"/>
      <c r="AL94" s="1124"/>
      <c r="AM94" s="1124"/>
      <c r="AN94" s="1124"/>
      <c r="AO94" s="981"/>
      <c r="AR94" s="513"/>
      <c r="AS94" s="513"/>
    </row>
    <row r="95" spans="2:45" ht="15.75" x14ac:dyDescent="0.25">
      <c r="B95" s="981"/>
      <c r="C95" s="1124"/>
      <c r="D95" s="986"/>
      <c r="E95" s="634"/>
      <c r="F95" s="634"/>
      <c r="G95" s="634"/>
      <c r="H95" s="634"/>
      <c r="I95" s="987"/>
      <c r="J95" s="988" t="str">
        <f t="shared" si="28"/>
        <v>Fuel cell hybrid vehicle Syn-methanol</v>
      </c>
      <c r="K95" s="1010">
        <v>1.66E-2</v>
      </c>
      <c r="L95" s="1010">
        <v>5.7342321310775775E-2</v>
      </c>
      <c r="M95" s="1010">
        <v>5.7342321310775775E-2</v>
      </c>
      <c r="N95" s="1010">
        <v>5.7342321310775775E-2</v>
      </c>
      <c r="O95" s="1011">
        <v>5.7342321310775775E-2</v>
      </c>
      <c r="P95" s="986"/>
      <c r="Q95" s="1081"/>
      <c r="R95" s="1081"/>
      <c r="S95" s="1081"/>
      <c r="T95" s="1081"/>
      <c r="U95" s="1081"/>
      <c r="V95" s="986" t="str">
        <f t="shared" si="29"/>
        <v>Fuel cell hybrid vehicle Syn-methanol</v>
      </c>
      <c r="W95" s="1083">
        <f t="shared" si="30"/>
        <v>0</v>
      </c>
      <c r="X95" s="1083">
        <f t="shared" si="31"/>
        <v>0</v>
      </c>
      <c r="Y95" s="1083">
        <f t="shared" si="32"/>
        <v>0</v>
      </c>
      <c r="Z95" s="1083">
        <f t="shared" si="33"/>
        <v>0</v>
      </c>
      <c r="AA95" s="1084">
        <f t="shared" si="34"/>
        <v>0</v>
      </c>
      <c r="AB95" s="1124"/>
      <c r="AC95" s="1124"/>
      <c r="AD95" s="1124"/>
      <c r="AE95" s="1124"/>
      <c r="AF95" s="1124"/>
      <c r="AG95" s="1124"/>
      <c r="AH95" s="1124"/>
      <c r="AI95" s="1124"/>
      <c r="AJ95" s="1124"/>
      <c r="AK95" s="1124"/>
      <c r="AL95" s="1124"/>
      <c r="AM95" s="1124"/>
      <c r="AN95" s="1124"/>
      <c r="AO95" s="981"/>
      <c r="AR95" s="513"/>
      <c r="AS95" s="513"/>
    </row>
    <row r="96" spans="2:45" ht="15.75" x14ac:dyDescent="0.25">
      <c r="B96" s="981"/>
      <c r="C96" s="1124"/>
      <c r="D96" s="986"/>
      <c r="E96" s="514"/>
      <c r="F96" s="514"/>
      <c r="G96" s="514"/>
      <c r="H96" s="514"/>
      <c r="I96" s="1003"/>
      <c r="J96" s="988" t="str">
        <f t="shared" si="28"/>
        <v>Plug-in fuel cell hybrid vehicle Electricity &amp; Syn-methanol</v>
      </c>
      <c r="K96" s="1012">
        <v>1.9733396742219227E-2</v>
      </c>
      <c r="L96" s="1012">
        <v>5.9558731989722787E-2</v>
      </c>
      <c r="M96" s="1012">
        <v>5.9558731989722787E-2</v>
      </c>
      <c r="N96" s="1012">
        <v>5.9558731989722787E-2</v>
      </c>
      <c r="O96" s="1013">
        <v>5.9558731989722787E-2</v>
      </c>
      <c r="P96" s="986"/>
      <c r="Q96" s="1101"/>
      <c r="R96" s="1101"/>
      <c r="S96" s="1101"/>
      <c r="T96" s="1101"/>
      <c r="U96" s="1101"/>
      <c r="V96" s="986" t="str">
        <f t="shared" si="29"/>
        <v>Plug-in fuel cell hybrid vehicle Electricity &amp; Syn-methanol</v>
      </c>
      <c r="W96" s="1083">
        <f t="shared" si="30"/>
        <v>0</v>
      </c>
      <c r="X96" s="1083">
        <f t="shared" si="31"/>
        <v>0</v>
      </c>
      <c r="Y96" s="1083">
        <f t="shared" si="32"/>
        <v>0</v>
      </c>
      <c r="Z96" s="1083">
        <f t="shared" si="33"/>
        <v>0</v>
      </c>
      <c r="AA96" s="1084">
        <f t="shared" si="34"/>
        <v>0</v>
      </c>
      <c r="AB96" s="1124"/>
      <c r="AC96" s="1124"/>
      <c r="AD96" s="1124"/>
      <c r="AE96" s="1124"/>
      <c r="AF96" s="1124"/>
      <c r="AG96" s="1124"/>
      <c r="AH96" s="1124"/>
      <c r="AI96" s="1124"/>
      <c r="AJ96" s="1124"/>
      <c r="AK96" s="1124"/>
      <c r="AL96" s="1124"/>
      <c r="AM96" s="1124"/>
      <c r="AN96" s="1124"/>
      <c r="AO96" s="981"/>
      <c r="AR96" s="513"/>
      <c r="AS96" s="513"/>
    </row>
    <row r="97" spans="2:45" ht="15.75" x14ac:dyDescent="0.25">
      <c r="B97" s="981"/>
      <c r="C97" s="1124"/>
      <c r="D97" s="986" t="s">
        <v>74</v>
      </c>
      <c r="E97" s="1014">
        <f t="shared" ref="E97:I98" si="35">E105</f>
        <v>7.3268604651162778E-2</v>
      </c>
      <c r="F97" s="1014">
        <f t="shared" si="35"/>
        <v>7.2050000000000003E-2</v>
      </c>
      <c r="G97" s="1014">
        <f t="shared" si="35"/>
        <v>7.2050000000000003E-2</v>
      </c>
      <c r="H97" s="1014">
        <f t="shared" si="35"/>
        <v>7.2050000000000003E-2</v>
      </c>
      <c r="I97" s="1015">
        <f t="shared" si="35"/>
        <v>7.2050000000000003E-2</v>
      </c>
      <c r="J97" s="988" t="str">
        <f t="shared" si="28"/>
        <v>ICE Bio-methanol</v>
      </c>
      <c r="K97" s="1016">
        <f>E105</f>
        <v>7.3268604651162778E-2</v>
      </c>
      <c r="L97" s="1016">
        <v>5.8600000000000006E-2</v>
      </c>
      <c r="M97" s="1016">
        <v>5.8600000000000006E-2</v>
      </c>
      <c r="N97" s="1016">
        <v>5.8600000000000006E-2</v>
      </c>
      <c r="O97" s="1017">
        <v>5.8600000000000006E-2</v>
      </c>
      <c r="P97" s="986" t="s">
        <v>409</v>
      </c>
      <c r="Q97" s="1083">
        <f t="shared" ref="Q97:U98" si="36">E97*Q75</f>
        <v>51.990311572803371</v>
      </c>
      <c r="R97" s="1083">
        <f t="shared" si="36"/>
        <v>586.5601662722928</v>
      </c>
      <c r="S97" s="1083">
        <f t="shared" si="36"/>
        <v>614.49271084738325</v>
      </c>
      <c r="T97" s="1083">
        <f t="shared" si="36"/>
        <v>617.98621184857586</v>
      </c>
      <c r="U97" s="1083">
        <f t="shared" si="36"/>
        <v>621.47971284976848</v>
      </c>
      <c r="V97" s="986" t="str">
        <f t="shared" si="29"/>
        <v>ICE Bio-methanol</v>
      </c>
      <c r="W97" s="1083">
        <f t="shared" si="30"/>
        <v>0</v>
      </c>
      <c r="X97" s="1083">
        <f t="shared" si="31"/>
        <v>0</v>
      </c>
      <c r="Y97" s="1083">
        <f t="shared" si="32"/>
        <v>0</v>
      </c>
      <c r="Z97" s="1083">
        <f t="shared" si="33"/>
        <v>0</v>
      </c>
      <c r="AA97" s="1084">
        <f t="shared" si="34"/>
        <v>0</v>
      </c>
      <c r="AB97" s="1124"/>
      <c r="AC97" s="1124"/>
      <c r="AD97" s="1124"/>
      <c r="AE97" s="1124"/>
      <c r="AF97" s="1124"/>
      <c r="AG97" s="1124"/>
      <c r="AH97" s="1124"/>
      <c r="AI97" s="1124"/>
      <c r="AJ97" s="1124"/>
      <c r="AK97" s="1124"/>
      <c r="AL97" s="1124"/>
      <c r="AM97" s="1124"/>
      <c r="AN97" s="1124"/>
      <c r="AO97" s="981"/>
      <c r="AR97" s="513"/>
      <c r="AS97" s="513"/>
    </row>
    <row r="98" spans="2:45" ht="15.75" x14ac:dyDescent="0.25">
      <c r="B98" s="981"/>
      <c r="C98" s="1124"/>
      <c r="D98" s="986" t="s">
        <v>43</v>
      </c>
      <c r="E98" s="1014">
        <f t="shared" si="35"/>
        <v>8.1880000000000008E-2</v>
      </c>
      <c r="F98" s="1014">
        <f t="shared" si="35"/>
        <v>8.1880000000000008E-2</v>
      </c>
      <c r="G98" s="1014">
        <f t="shared" si="35"/>
        <v>8.1880000000000008E-2</v>
      </c>
      <c r="H98" s="1014">
        <f t="shared" si="35"/>
        <v>8.1880000000000008E-2</v>
      </c>
      <c r="I98" s="1015">
        <f t="shared" si="35"/>
        <v>8.1880000000000008E-2</v>
      </c>
      <c r="J98" s="988" t="str">
        <f t="shared" si="28"/>
        <v>ICE Bioethanol</v>
      </c>
      <c r="K98" s="1016">
        <f>E106</f>
        <v>8.1880000000000008E-2</v>
      </c>
      <c r="L98" s="1016">
        <f>F106</f>
        <v>8.1880000000000008E-2</v>
      </c>
      <c r="M98" s="1016">
        <f>G106</f>
        <v>8.1880000000000008E-2</v>
      </c>
      <c r="N98" s="1016">
        <f>H106</f>
        <v>8.1880000000000008E-2</v>
      </c>
      <c r="O98" s="1017">
        <f>I106</f>
        <v>8.1880000000000008E-2</v>
      </c>
      <c r="P98" s="986" t="s">
        <v>43</v>
      </c>
      <c r="Q98" s="1083">
        <f t="shared" si="36"/>
        <v>37.120191722434846</v>
      </c>
      <c r="R98" s="1083">
        <f t="shared" si="36"/>
        <v>336.61671114648908</v>
      </c>
      <c r="S98" s="1083">
        <f t="shared" si="36"/>
        <v>398.25949629286515</v>
      </c>
      <c r="T98" s="1083">
        <f t="shared" si="36"/>
        <v>400.45602150031527</v>
      </c>
      <c r="U98" s="1083">
        <f t="shared" si="36"/>
        <v>402.65254670776545</v>
      </c>
      <c r="V98" s="986" t="str">
        <f t="shared" si="29"/>
        <v>ICE Bioethanol</v>
      </c>
      <c r="W98" s="1083">
        <f t="shared" si="30"/>
        <v>0</v>
      </c>
      <c r="X98" s="1083">
        <f t="shared" si="31"/>
        <v>0</v>
      </c>
      <c r="Y98" s="1083">
        <f t="shared" si="32"/>
        <v>0</v>
      </c>
      <c r="Z98" s="1083">
        <f t="shared" si="33"/>
        <v>0</v>
      </c>
      <c r="AA98" s="1084">
        <f t="shared" si="34"/>
        <v>0</v>
      </c>
      <c r="AB98" s="1124"/>
      <c r="AC98" s="1124"/>
      <c r="AD98" s="1124"/>
      <c r="AE98" s="1124"/>
      <c r="AF98" s="1124"/>
      <c r="AG98" s="1124"/>
      <c r="AH98" s="1124"/>
      <c r="AI98" s="1124"/>
      <c r="AJ98" s="1124"/>
      <c r="AK98" s="1124"/>
      <c r="AL98" s="1124"/>
      <c r="AM98" s="1124"/>
      <c r="AN98" s="1124"/>
      <c r="AO98" s="981"/>
      <c r="AR98" s="513"/>
      <c r="AS98" s="513"/>
    </row>
    <row r="99" spans="2:45" ht="15.75" x14ac:dyDescent="0.25">
      <c r="B99" s="981"/>
      <c r="C99" s="1124"/>
      <c r="D99" s="986"/>
      <c r="E99" s="514"/>
      <c r="F99" s="514"/>
      <c r="G99" s="514"/>
      <c r="H99" s="514"/>
      <c r="I99" s="1003"/>
      <c r="J99" s="988" t="str">
        <f t="shared" si="28"/>
        <v>ICE Biogas</v>
      </c>
      <c r="K99" s="1010">
        <v>6.3799999999999996E-2</v>
      </c>
      <c r="L99" s="1010">
        <v>7.1800000000000003E-2</v>
      </c>
      <c r="M99" s="1010">
        <v>7.1800000000000003E-2</v>
      </c>
      <c r="N99" s="1010">
        <v>7.1800000000000003E-2</v>
      </c>
      <c r="O99" s="1011">
        <v>7.1800000000000003E-2</v>
      </c>
      <c r="P99" s="986"/>
      <c r="Q99" s="1101"/>
      <c r="R99" s="1101"/>
      <c r="S99" s="1101"/>
      <c r="T99" s="1101"/>
      <c r="U99" s="1101"/>
      <c r="V99" s="986" t="str">
        <f t="shared" si="29"/>
        <v>ICE Biogas</v>
      </c>
      <c r="W99" s="1083">
        <f t="shared" si="30"/>
        <v>0</v>
      </c>
      <c r="X99" s="1083">
        <f t="shared" si="31"/>
        <v>0</v>
      </c>
      <c r="Y99" s="1083">
        <f t="shared" si="32"/>
        <v>0</v>
      </c>
      <c r="Z99" s="1083">
        <f t="shared" si="33"/>
        <v>0</v>
      </c>
      <c r="AA99" s="1084">
        <f t="shared" si="34"/>
        <v>0</v>
      </c>
      <c r="AB99" s="1124"/>
      <c r="AC99" s="1124"/>
      <c r="AD99" s="1124"/>
      <c r="AE99" s="1124"/>
      <c r="AF99" s="1124"/>
      <c r="AG99" s="1124"/>
      <c r="AH99" s="1124"/>
      <c r="AI99" s="1124"/>
      <c r="AJ99" s="1124"/>
      <c r="AK99" s="1124"/>
      <c r="AL99" s="1124"/>
      <c r="AM99" s="1124"/>
      <c r="AN99" s="1124"/>
      <c r="AO99" s="981"/>
      <c r="AR99" s="513"/>
      <c r="AS99" s="513"/>
    </row>
    <row r="100" spans="2:45" ht="15.75" x14ac:dyDescent="0.25">
      <c r="B100" s="981"/>
      <c r="C100" s="1124"/>
      <c r="D100" s="986"/>
      <c r="E100" s="514"/>
      <c r="F100" s="514"/>
      <c r="G100" s="514"/>
      <c r="H100" s="514"/>
      <c r="I100" s="1003"/>
      <c r="J100" s="988" t="str">
        <f t="shared" si="28"/>
        <v>ICE hybrid vehicle Bio-methanol</v>
      </c>
      <c r="K100" s="1016">
        <f>K94*0.73+K97*0.27</f>
        <v>0.16649089308122769</v>
      </c>
      <c r="L100" s="1016">
        <f>L94*0.73+L97*0.27</f>
        <v>9.7324412750255621E-2</v>
      </c>
      <c r="M100" s="1016">
        <f>M94*0.73+M97*0.27</f>
        <v>9.7324412750255621E-2</v>
      </c>
      <c r="N100" s="1016">
        <f>N94*0.73+N97*0.27</f>
        <v>9.7324412750255621E-2</v>
      </c>
      <c r="O100" s="1017">
        <f>O94*0.73+O97*0.27</f>
        <v>9.7324412750255621E-2</v>
      </c>
      <c r="P100" s="986"/>
      <c r="Q100" s="1101"/>
      <c r="R100" s="1101"/>
      <c r="S100" s="1101"/>
      <c r="T100" s="1101"/>
      <c r="U100" s="1101"/>
      <c r="V100" s="986" t="str">
        <f t="shared" si="29"/>
        <v>ICE hybrid vehicle Bio-methanol</v>
      </c>
      <c r="W100" s="1083">
        <f t="shared" si="30"/>
        <v>0</v>
      </c>
      <c r="X100" s="1083">
        <f t="shared" si="31"/>
        <v>0</v>
      </c>
      <c r="Y100" s="1083">
        <f t="shared" si="32"/>
        <v>0</v>
      </c>
      <c r="Z100" s="1083">
        <f t="shared" si="33"/>
        <v>0</v>
      </c>
      <c r="AA100" s="1084">
        <f t="shared" si="34"/>
        <v>0</v>
      </c>
      <c r="AB100" s="1124"/>
      <c r="AC100" s="1124"/>
      <c r="AD100" s="1124"/>
      <c r="AE100" s="1124"/>
      <c r="AF100" s="1124"/>
      <c r="AG100" s="1124"/>
      <c r="AH100" s="1124"/>
      <c r="AI100" s="1124"/>
      <c r="AJ100" s="1124"/>
      <c r="AK100" s="1124"/>
      <c r="AL100" s="1124"/>
      <c r="AM100" s="1124"/>
      <c r="AN100" s="1124"/>
      <c r="AO100" s="981"/>
      <c r="AR100" s="513"/>
      <c r="AS100" s="513"/>
    </row>
    <row r="101" spans="2:45" ht="15.75" x14ac:dyDescent="0.25">
      <c r="B101" s="981"/>
      <c r="C101" s="1124"/>
      <c r="D101" s="986"/>
      <c r="E101" s="514"/>
      <c r="F101" s="514"/>
      <c r="G101" s="514"/>
      <c r="H101" s="514"/>
      <c r="I101" s="1003"/>
      <c r="J101" s="988" t="str">
        <f t="shared" si="28"/>
        <v>ICE hybrid vehicle Diesel</v>
      </c>
      <c r="K101" s="1016">
        <f>K94*0.73+K105*0.27</f>
        <v>0.16649089308122769</v>
      </c>
      <c r="L101" s="1016">
        <f>L94*0.73+L105*0.27</f>
        <v>0.10095591275025562</v>
      </c>
      <c r="M101" s="1016">
        <f>M94*0.73+M105*0.27</f>
        <v>0.10095591275025562</v>
      </c>
      <c r="N101" s="1016">
        <f>N94*0.73+N105*0.27</f>
        <v>0.10095591275025562</v>
      </c>
      <c r="O101" s="1017">
        <f>O94*0.73+O105*0.27</f>
        <v>0.10095591275025562</v>
      </c>
      <c r="P101" s="986"/>
      <c r="Q101" s="1101"/>
      <c r="R101" s="1101"/>
      <c r="S101" s="1101"/>
      <c r="T101" s="1101"/>
      <c r="U101" s="1101"/>
      <c r="V101" s="986" t="str">
        <f t="shared" si="29"/>
        <v>ICE hybrid vehicle Diesel</v>
      </c>
      <c r="W101" s="1083">
        <f t="shared" si="30"/>
        <v>0</v>
      </c>
      <c r="X101" s="1083">
        <f t="shared" si="31"/>
        <v>0</v>
      </c>
      <c r="Y101" s="1083">
        <f t="shared" si="32"/>
        <v>0</v>
      </c>
      <c r="Z101" s="1083">
        <f t="shared" si="33"/>
        <v>0</v>
      </c>
      <c r="AA101" s="1084">
        <f t="shared" si="34"/>
        <v>0</v>
      </c>
      <c r="AB101" s="1124"/>
      <c r="AC101" s="1124"/>
      <c r="AD101" s="1124"/>
      <c r="AE101" s="1124"/>
      <c r="AF101" s="1124"/>
      <c r="AG101" s="1124"/>
      <c r="AH101" s="1124"/>
      <c r="AI101" s="1124"/>
      <c r="AJ101" s="1124"/>
      <c r="AK101" s="1124"/>
      <c r="AL101" s="1124"/>
      <c r="AM101" s="1124"/>
      <c r="AN101" s="1124"/>
      <c r="AO101" s="981"/>
      <c r="AR101" s="513"/>
      <c r="AS101" s="513"/>
    </row>
    <row r="102" spans="2:45" ht="15.75" x14ac:dyDescent="0.25">
      <c r="B102" s="981"/>
      <c r="C102" s="1124"/>
      <c r="D102" s="986"/>
      <c r="E102" s="514"/>
      <c r="F102" s="514"/>
      <c r="G102" s="514"/>
      <c r="H102" s="514"/>
      <c r="I102" s="1003"/>
      <c r="J102" s="988" t="str">
        <f t="shared" si="28"/>
        <v>ICE Plug-in hybrid vehicle Bio-methanol</v>
      </c>
      <c r="K102" s="1016">
        <f>K94*0.73+K97*0.27</f>
        <v>0.16649089308122769</v>
      </c>
      <c r="L102" s="1016">
        <f>L94*0.73+L97*0.27</f>
        <v>9.7324412750255621E-2</v>
      </c>
      <c r="M102" s="1016">
        <f>M94*0.73+M97*0.27</f>
        <v>9.7324412750255621E-2</v>
      </c>
      <c r="N102" s="1016">
        <f>N94*0.73+N97*0.27</f>
        <v>9.7324412750255621E-2</v>
      </c>
      <c r="O102" s="1017">
        <f>O94*0.73+O97*0.27</f>
        <v>9.7324412750255621E-2</v>
      </c>
      <c r="P102" s="986"/>
      <c r="Q102" s="1101"/>
      <c r="R102" s="1101"/>
      <c r="S102" s="1101"/>
      <c r="T102" s="1101"/>
      <c r="U102" s="1101"/>
      <c r="V102" s="986" t="str">
        <f t="shared" si="29"/>
        <v>ICE Plug-in hybrid vehicle Bio-methanol</v>
      </c>
      <c r="W102" s="1083">
        <f t="shared" si="30"/>
        <v>0</v>
      </c>
      <c r="X102" s="1083">
        <f t="shared" si="31"/>
        <v>0</v>
      </c>
      <c r="Y102" s="1083">
        <f t="shared" si="32"/>
        <v>0</v>
      </c>
      <c r="Z102" s="1083">
        <f t="shared" si="33"/>
        <v>0</v>
      </c>
      <c r="AA102" s="1084">
        <f t="shared" si="34"/>
        <v>0</v>
      </c>
      <c r="AB102" s="1124"/>
      <c r="AC102" s="1124"/>
      <c r="AD102" s="1124"/>
      <c r="AE102" s="1124"/>
      <c r="AF102" s="1124"/>
      <c r="AG102" s="1124"/>
      <c r="AH102" s="1124"/>
      <c r="AI102" s="1124"/>
      <c r="AJ102" s="1124"/>
      <c r="AK102" s="1124"/>
      <c r="AL102" s="1124"/>
      <c r="AM102" s="1124"/>
      <c r="AN102" s="1124"/>
      <c r="AO102" s="981"/>
      <c r="AR102" s="513"/>
      <c r="AS102" s="513"/>
    </row>
    <row r="103" spans="2:45" ht="15.75" x14ac:dyDescent="0.25">
      <c r="B103" s="981"/>
      <c r="C103" s="1124"/>
      <c r="D103" s="986"/>
      <c r="E103" s="514"/>
      <c r="F103" s="514"/>
      <c r="G103" s="514"/>
      <c r="H103" s="514"/>
      <c r="I103" s="1003"/>
      <c r="J103" s="988" t="str">
        <f t="shared" si="28"/>
        <v>ICE Plug-in hybrid vehicle Diesel</v>
      </c>
      <c r="K103" s="1016">
        <f>K94*0.73+K105*0.27</f>
        <v>0.16649089308122769</v>
      </c>
      <c r="L103" s="1016">
        <f>L94*0.73+L105*0.27</f>
        <v>0.10095591275025562</v>
      </c>
      <c r="M103" s="1016">
        <f>M94*0.73+M105*0.27</f>
        <v>0.10095591275025562</v>
      </c>
      <c r="N103" s="1016">
        <f>N94*0.73+N105*0.27</f>
        <v>0.10095591275025562</v>
      </c>
      <c r="O103" s="1017">
        <f>O94*0.73+O105*0.27</f>
        <v>0.10095591275025562</v>
      </c>
      <c r="P103" s="986"/>
      <c r="Q103" s="1101"/>
      <c r="R103" s="1101"/>
      <c r="S103" s="1101"/>
      <c r="T103" s="1101"/>
      <c r="U103" s="1101"/>
      <c r="V103" s="986" t="str">
        <f t="shared" si="29"/>
        <v>ICE Plug-in hybrid vehicle Diesel</v>
      </c>
      <c r="W103" s="1083">
        <f t="shared" si="30"/>
        <v>0</v>
      </c>
      <c r="X103" s="1083">
        <f t="shared" si="31"/>
        <v>0</v>
      </c>
      <c r="Y103" s="1083">
        <f t="shared" si="32"/>
        <v>0</v>
      </c>
      <c r="Z103" s="1083">
        <f t="shared" si="33"/>
        <v>0</v>
      </c>
      <c r="AA103" s="1084">
        <f t="shared" si="34"/>
        <v>0</v>
      </c>
      <c r="AB103" s="1124"/>
      <c r="AC103" s="1124"/>
      <c r="AD103" s="1124"/>
      <c r="AE103" s="1124"/>
      <c r="AF103" s="1124"/>
      <c r="AG103" s="1124"/>
      <c r="AH103" s="1124"/>
      <c r="AI103" s="1124"/>
      <c r="AJ103" s="1124"/>
      <c r="AK103" s="1124"/>
      <c r="AL103" s="1124"/>
      <c r="AM103" s="1124"/>
      <c r="AN103" s="1124"/>
      <c r="AO103" s="981"/>
      <c r="AR103" s="513"/>
      <c r="AS103" s="513"/>
    </row>
    <row r="104" spans="2:45" ht="15.75" x14ac:dyDescent="0.25">
      <c r="B104" s="981"/>
      <c r="C104" s="1124"/>
      <c r="D104" s="986"/>
      <c r="E104" s="514"/>
      <c r="F104" s="514"/>
      <c r="G104" s="514"/>
      <c r="H104" s="514"/>
      <c r="I104" s="1003"/>
      <c r="J104" s="988" t="s">
        <v>483</v>
      </c>
      <c r="K104" s="1016">
        <f>E105</f>
        <v>7.3268604651162778E-2</v>
      </c>
      <c r="L104" s="1016">
        <f t="shared" ref="L104:O104" si="37">F105</f>
        <v>7.2050000000000003E-2</v>
      </c>
      <c r="M104" s="1016">
        <f t="shared" si="37"/>
        <v>7.2050000000000003E-2</v>
      </c>
      <c r="N104" s="1016">
        <f t="shared" si="37"/>
        <v>7.2050000000000003E-2</v>
      </c>
      <c r="O104" s="1017">
        <f t="shared" si="37"/>
        <v>7.2050000000000003E-2</v>
      </c>
      <c r="P104" s="986"/>
      <c r="Q104" s="1101"/>
      <c r="R104" s="1101"/>
      <c r="S104" s="1101"/>
      <c r="T104" s="1101"/>
      <c r="U104" s="1101"/>
      <c r="V104" s="988" t="s">
        <v>483</v>
      </c>
      <c r="W104" s="1083">
        <f t="shared" si="30"/>
        <v>0</v>
      </c>
      <c r="X104" s="1083">
        <f t="shared" si="31"/>
        <v>0</v>
      </c>
      <c r="Y104" s="1083">
        <f t="shared" si="32"/>
        <v>0</v>
      </c>
      <c r="Z104" s="1083">
        <f t="shared" si="33"/>
        <v>0</v>
      </c>
      <c r="AA104" s="1084">
        <f t="shared" si="34"/>
        <v>0</v>
      </c>
      <c r="AB104" s="1124"/>
      <c r="AC104" s="1124"/>
      <c r="AD104" s="1124"/>
      <c r="AE104" s="1124"/>
      <c r="AF104" s="1124"/>
      <c r="AG104" s="1124"/>
      <c r="AH104" s="1124"/>
      <c r="AI104" s="1124"/>
      <c r="AJ104" s="1124"/>
      <c r="AK104" s="1124"/>
      <c r="AL104" s="1124"/>
      <c r="AM104" s="1124"/>
      <c r="AN104" s="1124"/>
      <c r="AO104" s="981"/>
      <c r="AR104" s="513"/>
      <c r="AS104" s="513"/>
    </row>
    <row r="105" spans="2:45" ht="15.75" x14ac:dyDescent="0.25">
      <c r="B105" s="981"/>
      <c r="C105" s="1124"/>
      <c r="D105" s="986" t="s">
        <v>3</v>
      </c>
      <c r="E105" s="1018">
        <v>7.3268604651162778E-2</v>
      </c>
      <c r="F105" s="1018">
        <v>7.2050000000000003E-2</v>
      </c>
      <c r="G105" s="1018">
        <v>7.2050000000000003E-2</v>
      </c>
      <c r="H105" s="1018">
        <v>7.2050000000000003E-2</v>
      </c>
      <c r="I105" s="1019">
        <v>7.2050000000000003E-2</v>
      </c>
      <c r="J105" s="988" t="str">
        <f>J83</f>
        <v>ICE Diesel</v>
      </c>
      <c r="K105" s="1016">
        <f t="shared" ref="K105:O106" si="38">E105</f>
        <v>7.3268604651162778E-2</v>
      </c>
      <c r="L105" s="1016">
        <f t="shared" si="38"/>
        <v>7.2050000000000003E-2</v>
      </c>
      <c r="M105" s="1016">
        <f t="shared" si="38"/>
        <v>7.2050000000000003E-2</v>
      </c>
      <c r="N105" s="1016">
        <f t="shared" si="38"/>
        <v>7.2050000000000003E-2</v>
      </c>
      <c r="O105" s="1017">
        <f t="shared" si="38"/>
        <v>7.2050000000000003E-2</v>
      </c>
      <c r="P105" s="986"/>
      <c r="Q105" s="1101"/>
      <c r="R105" s="1101"/>
      <c r="S105" s="1101"/>
      <c r="T105" s="1101"/>
      <c r="U105" s="1101"/>
      <c r="V105" s="986" t="str">
        <f t="shared" ref="V105:V110" si="39">AH83</f>
        <v>ICE Diesel</v>
      </c>
      <c r="W105" s="1083">
        <f t="shared" si="30"/>
        <v>0</v>
      </c>
      <c r="X105" s="1083">
        <f t="shared" si="31"/>
        <v>0</v>
      </c>
      <c r="Y105" s="1083">
        <f t="shared" si="32"/>
        <v>0</v>
      </c>
      <c r="Z105" s="1083">
        <f t="shared" si="33"/>
        <v>0</v>
      </c>
      <c r="AA105" s="1084">
        <f t="shared" si="34"/>
        <v>0</v>
      </c>
      <c r="AB105" s="1124"/>
      <c r="AC105" s="1124"/>
      <c r="AD105" s="1124"/>
      <c r="AE105" s="1124"/>
      <c r="AF105" s="1124"/>
      <c r="AG105" s="1124"/>
      <c r="AH105" s="1124"/>
      <c r="AI105" s="1124"/>
      <c r="AJ105" s="1124"/>
      <c r="AK105" s="1124"/>
      <c r="AL105" s="1124"/>
      <c r="AM105" s="1124"/>
      <c r="AN105" s="1124"/>
      <c r="AO105" s="981"/>
      <c r="AR105" s="513"/>
      <c r="AS105" s="513"/>
    </row>
    <row r="106" spans="2:45" ht="15.75" x14ac:dyDescent="0.25">
      <c r="B106" s="981"/>
      <c r="C106" s="1124"/>
      <c r="D106" s="986" t="s">
        <v>41</v>
      </c>
      <c r="E106" s="1018">
        <v>8.1880000000000008E-2</v>
      </c>
      <c r="F106" s="1018">
        <v>8.1880000000000008E-2</v>
      </c>
      <c r="G106" s="1018">
        <v>8.1880000000000008E-2</v>
      </c>
      <c r="H106" s="1018">
        <v>8.1880000000000008E-2</v>
      </c>
      <c r="I106" s="1019">
        <v>8.1880000000000008E-2</v>
      </c>
      <c r="J106" s="988" t="str">
        <f>J84</f>
        <v>ICE Petrol</v>
      </c>
      <c r="K106" s="1016">
        <f t="shared" si="38"/>
        <v>8.1880000000000008E-2</v>
      </c>
      <c r="L106" s="1016">
        <f t="shared" si="38"/>
        <v>8.1880000000000008E-2</v>
      </c>
      <c r="M106" s="1016">
        <f t="shared" si="38"/>
        <v>8.1880000000000008E-2</v>
      </c>
      <c r="N106" s="1016">
        <f t="shared" si="38"/>
        <v>8.1880000000000008E-2</v>
      </c>
      <c r="O106" s="1017">
        <f t="shared" si="38"/>
        <v>8.1880000000000008E-2</v>
      </c>
      <c r="P106" s="986"/>
      <c r="Q106" s="1101"/>
      <c r="R106" s="1101"/>
      <c r="S106" s="1101"/>
      <c r="T106" s="1101"/>
      <c r="U106" s="1101"/>
      <c r="V106" s="986" t="str">
        <f t="shared" si="39"/>
        <v>ICE Petrol</v>
      </c>
      <c r="W106" s="1083">
        <f t="shared" si="30"/>
        <v>0</v>
      </c>
      <c r="X106" s="1083">
        <f t="shared" si="31"/>
        <v>0</v>
      </c>
      <c r="Y106" s="1083">
        <f t="shared" si="32"/>
        <v>0</v>
      </c>
      <c r="Z106" s="1083">
        <f t="shared" si="33"/>
        <v>0</v>
      </c>
      <c r="AA106" s="1084">
        <f t="shared" si="34"/>
        <v>0</v>
      </c>
      <c r="AB106" s="1124"/>
      <c r="AC106" s="1124"/>
      <c r="AD106" s="1124"/>
      <c r="AE106" s="1124"/>
      <c r="AF106" s="1124"/>
      <c r="AG106" s="1124"/>
      <c r="AH106" s="1124"/>
      <c r="AI106" s="1124"/>
      <c r="AJ106" s="1124"/>
      <c r="AK106" s="1124"/>
      <c r="AL106" s="1124"/>
      <c r="AM106" s="1124"/>
      <c r="AN106" s="1124"/>
      <c r="AO106" s="981"/>
      <c r="AR106" s="513"/>
      <c r="AS106" s="513"/>
    </row>
    <row r="107" spans="2:45" ht="15.75" x14ac:dyDescent="0.25">
      <c r="B107" s="981"/>
      <c r="C107" s="1124"/>
      <c r="D107" s="986"/>
      <c r="E107" s="514"/>
      <c r="F107" s="514"/>
      <c r="G107" s="514"/>
      <c r="H107" s="514"/>
      <c r="I107" s="1003"/>
      <c r="J107" s="988" t="str">
        <f>J85</f>
        <v>ICE Syn-methanol</v>
      </c>
      <c r="K107" s="1016">
        <f>K97</f>
        <v>7.3268604651162778E-2</v>
      </c>
      <c r="L107" s="1016">
        <f>L97</f>
        <v>5.8600000000000006E-2</v>
      </c>
      <c r="M107" s="1016">
        <f>M97</f>
        <v>5.8600000000000006E-2</v>
      </c>
      <c r="N107" s="1016">
        <f>N97</f>
        <v>5.8600000000000006E-2</v>
      </c>
      <c r="O107" s="1017">
        <f>O97</f>
        <v>5.8600000000000006E-2</v>
      </c>
      <c r="P107" s="986"/>
      <c r="Q107" s="1101"/>
      <c r="R107" s="1101"/>
      <c r="S107" s="1101"/>
      <c r="T107" s="1101"/>
      <c r="U107" s="1101"/>
      <c r="V107" s="986" t="str">
        <f t="shared" si="39"/>
        <v>ICE Syn-methanol</v>
      </c>
      <c r="W107" s="1083">
        <f t="shared" si="30"/>
        <v>0</v>
      </c>
      <c r="X107" s="1083">
        <f t="shared" si="31"/>
        <v>0</v>
      </c>
      <c r="Y107" s="1083">
        <f t="shared" si="32"/>
        <v>0</v>
      </c>
      <c r="Z107" s="1083">
        <f t="shared" si="33"/>
        <v>0</v>
      </c>
      <c r="AA107" s="1084">
        <f t="shared" si="34"/>
        <v>0</v>
      </c>
      <c r="AB107" s="1124"/>
      <c r="AC107" s="1124"/>
      <c r="AD107" s="1124"/>
      <c r="AE107" s="1124"/>
      <c r="AF107" s="1124"/>
      <c r="AG107" s="1124"/>
      <c r="AH107" s="1124"/>
      <c r="AI107" s="1124"/>
      <c r="AJ107" s="1124"/>
      <c r="AK107" s="1124"/>
      <c r="AL107" s="1124"/>
      <c r="AM107" s="1124"/>
      <c r="AN107" s="1124"/>
      <c r="AO107" s="981"/>
      <c r="AR107" s="513"/>
      <c r="AS107" s="513"/>
    </row>
    <row r="108" spans="2:45" ht="15.75" x14ac:dyDescent="0.25">
      <c r="B108" s="981"/>
      <c r="C108" s="1124"/>
      <c r="D108" s="1004"/>
      <c r="E108" s="634"/>
      <c r="F108" s="634"/>
      <c r="G108" s="634"/>
      <c r="H108" s="634"/>
      <c r="I108" s="987"/>
      <c r="J108" s="988" t="str">
        <f>J86</f>
        <v>ICE hybrid vehicle Syn-methanol</v>
      </c>
      <c r="K108" s="1016">
        <f>K94*0.73+K107*0.27</f>
        <v>0.16649089308122769</v>
      </c>
      <c r="L108" s="1016">
        <f>L94*0.73+L107*0.27</f>
        <v>9.7324412750255621E-2</v>
      </c>
      <c r="M108" s="1016">
        <f>M94*0.73+M107*0.27</f>
        <v>9.7324412750255621E-2</v>
      </c>
      <c r="N108" s="1016">
        <f>N94*0.73+N107*0.27</f>
        <v>9.7324412750255621E-2</v>
      </c>
      <c r="O108" s="1017">
        <f>O94*0.73+O107*0.27</f>
        <v>9.7324412750255621E-2</v>
      </c>
      <c r="P108" s="986" t="s">
        <v>3</v>
      </c>
      <c r="Q108" s="1083">
        <f t="shared" ref="Q108:U109" si="40">E105*Q86</f>
        <v>5661.417870252968</v>
      </c>
      <c r="R108" s="1083">
        <f t="shared" si="40"/>
        <v>9636.7698190277588</v>
      </c>
      <c r="S108" s="1083">
        <f t="shared" si="40"/>
        <v>11802.278233416277</v>
      </c>
      <c r="T108" s="1083">
        <f t="shared" si="40"/>
        <v>14061.821263912558</v>
      </c>
      <c r="U108" s="1083">
        <f t="shared" si="40"/>
        <v>16321.364294408835</v>
      </c>
      <c r="V108" s="986" t="str">
        <f t="shared" si="39"/>
        <v>ICE hybrid vehicle Syn-methanol</v>
      </c>
      <c r="W108" s="1083">
        <f t="shared" si="30"/>
        <v>0</v>
      </c>
      <c r="X108" s="1083">
        <f t="shared" si="31"/>
        <v>0</v>
      </c>
      <c r="Y108" s="1083">
        <f t="shared" si="32"/>
        <v>0</v>
      </c>
      <c r="Z108" s="1083">
        <f t="shared" si="33"/>
        <v>0</v>
      </c>
      <c r="AA108" s="1084">
        <f t="shared" si="34"/>
        <v>0</v>
      </c>
      <c r="AB108" s="1124"/>
      <c r="AC108" s="1124"/>
      <c r="AD108" s="1124"/>
      <c r="AE108" s="1124"/>
      <c r="AF108" s="1124"/>
      <c r="AG108" s="1124"/>
      <c r="AH108" s="1124"/>
      <c r="AI108" s="1124"/>
      <c r="AJ108" s="1124"/>
      <c r="AK108" s="1124"/>
      <c r="AL108" s="1124"/>
      <c r="AM108" s="1124"/>
      <c r="AN108" s="1124"/>
      <c r="AO108" s="981"/>
      <c r="AR108" s="513"/>
      <c r="AS108" s="513"/>
    </row>
    <row r="109" spans="2:45" ht="15.75" x14ac:dyDescent="0.25">
      <c r="B109" s="981"/>
      <c r="C109" s="1124"/>
      <c r="D109" s="1004"/>
      <c r="E109" s="634"/>
      <c r="F109" s="634"/>
      <c r="G109" s="634"/>
      <c r="H109" s="634"/>
      <c r="I109" s="987"/>
      <c r="J109" s="988" t="str">
        <f>J87</f>
        <v>ICE Plug-in hybrid vehicle Syn-methanol</v>
      </c>
      <c r="K109" s="1016">
        <f>K102</f>
        <v>0.16649089308122769</v>
      </c>
      <c r="L109" s="1016">
        <f>L102</f>
        <v>9.7324412750255621E-2</v>
      </c>
      <c r="M109" s="1016">
        <f>M102</f>
        <v>9.7324412750255621E-2</v>
      </c>
      <c r="N109" s="1016">
        <f>N102</f>
        <v>9.7324412750255621E-2</v>
      </c>
      <c r="O109" s="1017">
        <f>O102</f>
        <v>9.7324412750255621E-2</v>
      </c>
      <c r="P109" s="986" t="s">
        <v>41</v>
      </c>
      <c r="Q109" s="1083">
        <f t="shared" si="40"/>
        <v>12329.575421038655</v>
      </c>
      <c r="R109" s="1083">
        <f t="shared" si="40"/>
        <v>9626.7800539159944</v>
      </c>
      <c r="S109" s="1083">
        <f t="shared" si="40"/>
        <v>9870.4236090252834</v>
      </c>
      <c r="T109" s="1083">
        <f t="shared" si="40"/>
        <v>7972.033720907456</v>
      </c>
      <c r="U109" s="1083">
        <f t="shared" si="40"/>
        <v>6073.6438327896321</v>
      </c>
      <c r="V109" s="986" t="str">
        <f t="shared" si="39"/>
        <v>ICE Plug-in hybrid vehicle Syn-methanol</v>
      </c>
      <c r="W109" s="1083">
        <f t="shared" si="30"/>
        <v>0</v>
      </c>
      <c r="X109" s="1083">
        <f t="shared" si="31"/>
        <v>0</v>
      </c>
      <c r="Y109" s="1083">
        <f t="shared" si="32"/>
        <v>0</v>
      </c>
      <c r="Z109" s="1083">
        <f t="shared" si="33"/>
        <v>0</v>
      </c>
      <c r="AA109" s="1084">
        <f t="shared" si="34"/>
        <v>0</v>
      </c>
      <c r="AB109" s="1124"/>
      <c r="AC109" s="1124"/>
      <c r="AD109" s="1124"/>
      <c r="AE109" s="1124"/>
      <c r="AF109" s="1124"/>
      <c r="AG109" s="1124"/>
      <c r="AH109" s="1124"/>
      <c r="AI109" s="1124"/>
      <c r="AJ109" s="1124"/>
      <c r="AK109" s="1124"/>
      <c r="AL109" s="1124"/>
      <c r="AM109" s="1124"/>
      <c r="AN109" s="1124"/>
      <c r="AO109" s="981"/>
    </row>
    <row r="110" spans="2:45" ht="16.5" thickBot="1" x14ac:dyDescent="0.3">
      <c r="B110" s="981"/>
      <c r="C110" s="1124"/>
      <c r="D110" s="994"/>
      <c r="E110" s="1005"/>
      <c r="F110" s="1005"/>
      <c r="G110" s="1005"/>
      <c r="H110" s="1005"/>
      <c r="I110" s="1006"/>
      <c r="J110" s="994" t="s">
        <v>57</v>
      </c>
      <c r="K110" s="1020">
        <f>(E97*Q75+E98*Q76+E105*Q86+E106*Q87)/Q89</f>
        <v>7.8947823544758197E-2</v>
      </c>
      <c r="L110" s="1020">
        <f>(F97*R75+F98*R76+F105*R86+F106*R87)/R89</f>
        <v>7.6588149303650904E-2</v>
      </c>
      <c r="M110" s="1020">
        <f>(G97*S75+G98*S76+G105*S86+G106*S87)/S89</f>
        <v>7.6190409205035142E-2</v>
      </c>
      <c r="N110" s="1020">
        <f>(H97*T75+H98*T76+H105*T86+H106*T87)/T89</f>
        <v>7.5334822184517355E-2</v>
      </c>
      <c r="O110" s="1021">
        <f>(I97*U75+I98*U76+I105*U86+I106*U87)/U89</f>
        <v>7.4524164463992473E-2</v>
      </c>
      <c r="P110" s="994"/>
      <c r="Q110" s="1103"/>
      <c r="R110" s="1103"/>
      <c r="S110" s="1103"/>
      <c r="T110" s="1103"/>
      <c r="U110" s="1103"/>
      <c r="V110" s="994" t="str">
        <f t="shared" si="39"/>
        <v>No shift in technology</v>
      </c>
      <c r="W110" s="1091">
        <f t="shared" si="30"/>
        <v>18080.103794586856</v>
      </c>
      <c r="X110" s="1091">
        <f t="shared" si="31"/>
        <v>20186.726750362533</v>
      </c>
      <c r="Y110" s="1091">
        <f t="shared" si="32"/>
        <v>22685.454049581807</v>
      </c>
      <c r="Z110" s="1091">
        <f t="shared" si="33"/>
        <v>23052.297218168904</v>
      </c>
      <c r="AA110" s="1092">
        <f t="shared" si="34"/>
        <v>23419.140386755993</v>
      </c>
      <c r="AB110" s="1124"/>
      <c r="AC110" s="1124"/>
      <c r="AD110" s="1124"/>
      <c r="AE110" s="1124"/>
      <c r="AF110" s="1124"/>
      <c r="AG110" s="1124"/>
      <c r="AH110" s="1124"/>
      <c r="AI110" s="1124"/>
      <c r="AJ110" s="1124"/>
      <c r="AK110" s="1124"/>
      <c r="AL110" s="1124"/>
      <c r="AM110" s="1124"/>
      <c r="AN110" s="1124"/>
      <c r="AO110" s="981"/>
    </row>
    <row r="111" spans="2:45" ht="17.25" thickTop="1" thickBot="1" x14ac:dyDescent="0.3">
      <c r="B111" s="981"/>
      <c r="C111" s="1124"/>
      <c r="D111" s="996"/>
      <c r="E111" s="1022"/>
      <c r="F111" s="1022"/>
      <c r="G111" s="1022"/>
      <c r="H111" s="1022"/>
      <c r="I111" s="1023"/>
      <c r="J111" s="996"/>
      <c r="K111" s="1024"/>
      <c r="L111" s="1024"/>
      <c r="M111" s="1024"/>
      <c r="N111" s="1024"/>
      <c r="O111" s="1025"/>
      <c r="P111" s="996" t="s">
        <v>60</v>
      </c>
      <c r="Q111" s="1087">
        <f>SUM(Q94:Q110)</f>
        <v>18080.103794586859</v>
      </c>
      <c r="R111" s="1087">
        <f>SUM(R94:R110)</f>
        <v>20186.726750362533</v>
      </c>
      <c r="S111" s="1087">
        <f>SUM(S94:S110)</f>
        <v>22685.454049581807</v>
      </c>
      <c r="T111" s="1087">
        <f>SUM(T94:T110)</f>
        <v>23052.297218168904</v>
      </c>
      <c r="U111" s="1088">
        <f>SUM(U94:U110)</f>
        <v>23419.140386756</v>
      </c>
      <c r="V111" s="996" t="s">
        <v>60</v>
      </c>
      <c r="W111" s="1087">
        <f>SUM(W94:W110)</f>
        <v>18080.103794586856</v>
      </c>
      <c r="X111" s="1087">
        <f>SUM(X94:X110)</f>
        <v>20186.726750362533</v>
      </c>
      <c r="Y111" s="1087">
        <f>SUM(Y94:Y110)</f>
        <v>22685.454049581807</v>
      </c>
      <c r="Z111" s="1087">
        <f>SUM(Z94:Z110)</f>
        <v>23052.297218168904</v>
      </c>
      <c r="AA111" s="1088">
        <f>SUM(AA94:AA110)</f>
        <v>23419.140386755993</v>
      </c>
      <c r="AB111" s="1124"/>
      <c r="AC111" s="1124"/>
      <c r="AD111" s="1124"/>
      <c r="AE111" s="1124"/>
      <c r="AF111" s="1124"/>
      <c r="AG111" s="1124"/>
      <c r="AH111" s="1124"/>
      <c r="AI111" s="1124"/>
      <c r="AJ111" s="1124"/>
      <c r="AK111" s="1124"/>
      <c r="AL111" s="1124"/>
      <c r="AM111" s="1124"/>
      <c r="AN111" s="1124"/>
      <c r="AO111" s="981"/>
    </row>
    <row r="112" spans="2:45" ht="16.5" thickBot="1" x14ac:dyDescent="0.3">
      <c r="B112" s="981"/>
      <c r="C112" s="1124"/>
      <c r="D112" s="1124"/>
      <c r="E112" s="1124"/>
      <c r="F112" s="1124"/>
      <c r="G112" s="1124"/>
      <c r="H112" s="1124"/>
      <c r="I112" s="1124"/>
      <c r="J112" s="1124"/>
      <c r="K112" s="1124"/>
      <c r="L112" s="1124"/>
      <c r="M112" s="1124"/>
      <c r="N112" s="1124"/>
      <c r="O112" s="1124"/>
      <c r="P112" s="996" t="s">
        <v>230</v>
      </c>
      <c r="Q112" s="1026">
        <f>Q111/Q89</f>
        <v>7.8947823544758197E-2</v>
      </c>
      <c r="R112" s="1026">
        <f>R111/R89</f>
        <v>7.6588149303650904E-2</v>
      </c>
      <c r="S112" s="1026">
        <f>S111/S89</f>
        <v>7.6190409205035142E-2</v>
      </c>
      <c r="T112" s="1026">
        <f>T111/T89</f>
        <v>7.5334822184517355E-2</v>
      </c>
      <c r="U112" s="1027">
        <f>U111/U89</f>
        <v>7.4524164463992473E-2</v>
      </c>
      <c r="V112" s="996"/>
      <c r="W112" s="1026">
        <f>W111/W89</f>
        <v>7.8947823544758197E-2</v>
      </c>
      <c r="X112" s="1026">
        <f>X111/X89</f>
        <v>7.6588149303650904E-2</v>
      </c>
      <c r="Y112" s="1026">
        <f>Y111/Y89</f>
        <v>7.6190409205035142E-2</v>
      </c>
      <c r="Z112" s="1026">
        <f>Z111/Z89</f>
        <v>7.5334822184517355E-2</v>
      </c>
      <c r="AA112" s="1027">
        <f>AA111/AA89</f>
        <v>7.4524164463992473E-2</v>
      </c>
      <c r="AB112" s="1124"/>
      <c r="AC112" s="1124"/>
      <c r="AD112" s="1124"/>
      <c r="AE112" s="1124"/>
      <c r="AF112" s="1124"/>
      <c r="AG112" s="1124"/>
      <c r="AH112" s="1124"/>
      <c r="AI112" s="1124"/>
      <c r="AJ112" s="1124"/>
      <c r="AK112" s="1124"/>
      <c r="AL112" s="1124"/>
      <c r="AM112" s="1124"/>
      <c r="AN112" s="1124"/>
      <c r="AO112" s="981"/>
    </row>
    <row r="113" spans="2:41" ht="15.75" thickBot="1" x14ac:dyDescent="0.3">
      <c r="B113" s="981"/>
      <c r="C113" s="1124"/>
      <c r="D113" s="1124"/>
      <c r="E113" s="1124"/>
      <c r="F113" s="1124"/>
      <c r="G113" s="1124"/>
      <c r="H113" s="1124"/>
      <c r="I113" s="1124"/>
      <c r="J113" s="1124"/>
      <c r="K113" s="1124"/>
      <c r="L113" s="1124"/>
      <c r="M113" s="1124"/>
      <c r="N113" s="1124"/>
      <c r="O113" s="1124"/>
      <c r="P113" s="1128"/>
      <c r="Q113" s="1128"/>
      <c r="R113" s="1125"/>
      <c r="S113" s="1124"/>
      <c r="T113" s="1124"/>
      <c r="U113" s="1124"/>
      <c r="V113" s="1124"/>
      <c r="W113" s="1124"/>
      <c r="X113" s="1124"/>
      <c r="Y113" s="1124"/>
      <c r="Z113" s="1124"/>
      <c r="AA113" s="1124"/>
      <c r="AB113" s="1124"/>
      <c r="AC113" s="1124"/>
      <c r="AD113" s="1124"/>
      <c r="AE113" s="1124"/>
      <c r="AF113" s="1124"/>
      <c r="AG113" s="1124"/>
      <c r="AH113" s="1124"/>
      <c r="AI113" s="1124"/>
      <c r="AJ113" s="1124"/>
      <c r="AK113" s="1124"/>
      <c r="AL113" s="1124"/>
      <c r="AM113" s="1124"/>
      <c r="AN113" s="1124"/>
      <c r="AO113" s="981"/>
    </row>
    <row r="114" spans="2:41" x14ac:dyDescent="0.25">
      <c r="B114" s="981"/>
      <c r="C114" s="1124"/>
      <c r="D114" s="2020" t="s">
        <v>185</v>
      </c>
      <c r="E114" s="2021"/>
      <c r="F114" s="2021"/>
      <c r="G114" s="2021"/>
      <c r="H114" s="2021"/>
      <c r="I114" s="2022"/>
      <c r="J114" s="2017" t="s">
        <v>186</v>
      </c>
      <c r="K114" s="2018"/>
      <c r="L114" s="2018"/>
      <c r="M114" s="2018"/>
      <c r="N114" s="2018"/>
      <c r="O114" s="2019"/>
      <c r="P114" s="1128"/>
      <c r="Q114" s="1128"/>
      <c r="R114" s="1125"/>
      <c r="S114" s="1124"/>
      <c r="T114" s="1124"/>
      <c r="U114" s="1124"/>
      <c r="V114" s="1124"/>
      <c r="W114" s="1124"/>
      <c r="X114" s="1124"/>
      <c r="Y114" s="1124"/>
      <c r="Z114" s="1124"/>
      <c r="AA114" s="1124"/>
      <c r="AB114" s="1124"/>
      <c r="AC114" s="1124"/>
      <c r="AD114" s="1124"/>
      <c r="AE114" s="1124"/>
      <c r="AF114" s="1124"/>
      <c r="AG114" s="1124"/>
      <c r="AH114" s="1124"/>
      <c r="AI114" s="1124"/>
      <c r="AJ114" s="1124"/>
      <c r="AK114" s="1124"/>
      <c r="AL114" s="1124"/>
      <c r="AM114" s="1124"/>
      <c r="AN114" s="1124"/>
      <c r="AO114" s="981"/>
    </row>
    <row r="115" spans="2:41" ht="15.75" thickBot="1" x14ac:dyDescent="0.3">
      <c r="B115" s="981"/>
      <c r="C115" s="1124"/>
      <c r="D115" s="971" t="s">
        <v>391</v>
      </c>
      <c r="E115" s="983">
        <v>2010</v>
      </c>
      <c r="F115" s="983">
        <v>2020</v>
      </c>
      <c r="G115" s="983">
        <v>2030</v>
      </c>
      <c r="H115" s="983">
        <v>2040</v>
      </c>
      <c r="I115" s="984">
        <v>2050</v>
      </c>
      <c r="J115" s="971" t="s">
        <v>391</v>
      </c>
      <c r="K115" s="983">
        <v>2010</v>
      </c>
      <c r="L115" s="983">
        <v>2020</v>
      </c>
      <c r="M115" s="983">
        <v>2030</v>
      </c>
      <c r="N115" s="983">
        <v>2040</v>
      </c>
      <c r="O115" s="984">
        <v>2050</v>
      </c>
      <c r="P115" s="1128"/>
      <c r="Q115" s="1128"/>
      <c r="R115" s="1125"/>
      <c r="S115" s="1124"/>
      <c r="T115" s="1124"/>
      <c r="U115" s="1124"/>
      <c r="V115" s="1124"/>
      <c r="W115" s="1124"/>
      <c r="X115" s="1124"/>
      <c r="Y115" s="1124"/>
      <c r="Z115" s="1124"/>
      <c r="AA115" s="1124"/>
      <c r="AB115" s="1124"/>
      <c r="AC115" s="1124"/>
      <c r="AD115" s="1124"/>
      <c r="AE115" s="1124"/>
      <c r="AF115" s="1124"/>
      <c r="AG115" s="1124"/>
      <c r="AH115" s="1124"/>
      <c r="AI115" s="1124"/>
      <c r="AJ115" s="1124"/>
      <c r="AK115" s="1124"/>
      <c r="AL115" s="1124"/>
      <c r="AM115" s="1124"/>
      <c r="AN115" s="1124"/>
      <c r="AO115" s="981"/>
    </row>
    <row r="116" spans="2:41" ht="15.75" x14ac:dyDescent="0.25">
      <c r="B116" s="981"/>
      <c r="C116" s="1124"/>
      <c r="D116" s="1000"/>
      <c r="E116" s="1059"/>
      <c r="F116" s="1059"/>
      <c r="G116" s="1059"/>
      <c r="H116" s="1059"/>
      <c r="I116" s="1060"/>
      <c r="J116" s="999" t="str">
        <f t="shared" ref="J116:J125" si="41">J138</f>
        <v>Battery electric vehicles</v>
      </c>
      <c r="K116" s="1089">
        <f t="shared" ref="K116:K132" si="42">AI72+W94</f>
        <v>0</v>
      </c>
      <c r="L116" s="1089">
        <f t="shared" ref="L116:L132" si="43">AJ72+X94</f>
        <v>0</v>
      </c>
      <c r="M116" s="1089">
        <f t="shared" ref="M116:M132" si="44">AK72+Y94</f>
        <v>0</v>
      </c>
      <c r="N116" s="1089">
        <f t="shared" ref="N116:N132" si="45">AL72+Z94</f>
        <v>0</v>
      </c>
      <c r="O116" s="1090">
        <f t="shared" ref="O116:O132" si="46">AM72+AA94</f>
        <v>0</v>
      </c>
      <c r="P116" s="1128"/>
      <c r="Q116" s="1128"/>
      <c r="R116" s="1125"/>
      <c r="S116" s="1124"/>
      <c r="T116" s="1124"/>
      <c r="U116" s="1124"/>
      <c r="V116" s="1124"/>
      <c r="W116" s="1124"/>
      <c r="X116" s="1124"/>
      <c r="Y116" s="1124"/>
      <c r="Z116" s="1124"/>
      <c r="AA116" s="1124"/>
      <c r="AB116" s="1124"/>
      <c r="AC116" s="1124"/>
      <c r="AD116" s="1124"/>
      <c r="AE116" s="1124"/>
      <c r="AF116" s="1124"/>
      <c r="AG116" s="1124"/>
      <c r="AH116" s="1124"/>
      <c r="AI116" s="1124"/>
      <c r="AJ116" s="1124"/>
      <c r="AK116" s="1124"/>
      <c r="AL116" s="1124"/>
      <c r="AM116" s="1124"/>
      <c r="AN116" s="1124"/>
      <c r="AO116" s="981"/>
    </row>
    <row r="117" spans="2:41" ht="15.75" x14ac:dyDescent="0.25">
      <c r="B117" s="981"/>
      <c r="C117" s="1124"/>
      <c r="D117" s="986"/>
      <c r="E117" s="764"/>
      <c r="F117" s="764"/>
      <c r="G117" s="764"/>
      <c r="H117" s="764"/>
      <c r="I117" s="1061"/>
      <c r="J117" s="988" t="str">
        <f t="shared" si="41"/>
        <v>Fuel cell hybrid vehicle Syn-methanol</v>
      </c>
      <c r="K117" s="1083">
        <f t="shared" si="42"/>
        <v>0</v>
      </c>
      <c r="L117" s="1083">
        <f t="shared" si="43"/>
        <v>0</v>
      </c>
      <c r="M117" s="1083">
        <f t="shared" si="44"/>
        <v>0</v>
      </c>
      <c r="N117" s="1083">
        <f t="shared" si="45"/>
        <v>0</v>
      </c>
      <c r="O117" s="1084">
        <f t="shared" si="46"/>
        <v>0</v>
      </c>
      <c r="P117" s="1128"/>
      <c r="Q117" s="1128"/>
      <c r="R117" s="1125"/>
      <c r="S117" s="1124"/>
      <c r="T117" s="1124"/>
      <c r="U117" s="1124"/>
      <c r="V117" s="1124"/>
      <c r="W117" s="1124"/>
      <c r="X117" s="1124"/>
      <c r="Y117" s="1124"/>
      <c r="Z117" s="1124"/>
      <c r="AA117" s="1124"/>
      <c r="AB117" s="1124"/>
      <c r="AC117" s="1124"/>
      <c r="AD117" s="1124"/>
      <c r="AE117" s="1124"/>
      <c r="AF117" s="1124"/>
      <c r="AG117" s="1124"/>
      <c r="AH117" s="1124"/>
      <c r="AI117" s="1124"/>
      <c r="AJ117" s="1124"/>
      <c r="AK117" s="1124"/>
      <c r="AL117" s="1124"/>
      <c r="AM117" s="1124"/>
      <c r="AN117" s="1124"/>
      <c r="AO117" s="981"/>
    </row>
    <row r="118" spans="2:41" ht="15.75" x14ac:dyDescent="0.25">
      <c r="B118" s="981"/>
      <c r="C118" s="1124"/>
      <c r="D118" s="986"/>
      <c r="E118" s="531"/>
      <c r="F118" s="531"/>
      <c r="G118" s="531"/>
      <c r="H118" s="531"/>
      <c r="I118" s="1062"/>
      <c r="J118" s="988" t="str">
        <f t="shared" si="41"/>
        <v>Plug-in fuel cell hybrid vehicle Electricity &amp; Syn-methanol</v>
      </c>
      <c r="K118" s="1083">
        <f t="shared" si="42"/>
        <v>0</v>
      </c>
      <c r="L118" s="1083">
        <f t="shared" si="43"/>
        <v>0</v>
      </c>
      <c r="M118" s="1083">
        <f t="shared" si="44"/>
        <v>0</v>
      </c>
      <c r="N118" s="1083">
        <f t="shared" si="45"/>
        <v>0</v>
      </c>
      <c r="O118" s="1084">
        <f t="shared" si="46"/>
        <v>0</v>
      </c>
      <c r="P118" s="1128"/>
      <c r="Q118" s="1128"/>
      <c r="R118" s="1125"/>
      <c r="S118" s="1124"/>
      <c r="T118" s="1124"/>
      <c r="U118" s="1124"/>
      <c r="V118" s="1124"/>
      <c r="W118" s="1124"/>
      <c r="X118" s="1124"/>
      <c r="Y118" s="1124"/>
      <c r="Z118" s="1124"/>
      <c r="AA118" s="1124"/>
      <c r="AB118" s="1124"/>
      <c r="AC118" s="1124"/>
      <c r="AD118" s="1124"/>
      <c r="AE118" s="1124"/>
      <c r="AF118" s="1124"/>
      <c r="AG118" s="1124"/>
      <c r="AH118" s="1124"/>
      <c r="AI118" s="1124"/>
      <c r="AJ118" s="1124"/>
      <c r="AK118" s="1124"/>
      <c r="AL118" s="1124"/>
      <c r="AM118" s="1124"/>
      <c r="AN118" s="1124"/>
      <c r="AO118" s="981"/>
    </row>
    <row r="119" spans="2:41" ht="15.75" x14ac:dyDescent="0.25">
      <c r="B119" s="981"/>
      <c r="C119" s="1124"/>
      <c r="D119" s="986" t="s">
        <v>74</v>
      </c>
      <c r="E119" s="1063">
        <f t="shared" ref="E119:I120" si="47">AC75+Q97</f>
        <v>118.71227673866423</v>
      </c>
      <c r="F119" s="1063">
        <f t="shared" si="47"/>
        <v>1352.0561404144867</v>
      </c>
      <c r="G119" s="1063">
        <f t="shared" si="47"/>
        <v>1416.4423203526253</v>
      </c>
      <c r="H119" s="1063">
        <f t="shared" si="47"/>
        <v>1424.4950483621401</v>
      </c>
      <c r="I119" s="1064">
        <f t="shared" si="47"/>
        <v>1432.5477763716553</v>
      </c>
      <c r="J119" s="988" t="str">
        <f t="shared" si="41"/>
        <v>ICE Bio-methanol</v>
      </c>
      <c r="K119" s="1083">
        <f t="shared" si="42"/>
        <v>0</v>
      </c>
      <c r="L119" s="1083">
        <f t="shared" si="43"/>
        <v>0</v>
      </c>
      <c r="M119" s="1083">
        <f t="shared" si="44"/>
        <v>0</v>
      </c>
      <c r="N119" s="1083">
        <f t="shared" si="45"/>
        <v>0</v>
      </c>
      <c r="O119" s="1084">
        <f t="shared" si="46"/>
        <v>0</v>
      </c>
      <c r="P119" s="1128"/>
      <c r="Q119" s="1128"/>
      <c r="R119" s="1125"/>
      <c r="S119" s="1124"/>
      <c r="T119" s="1124"/>
      <c r="U119" s="1124"/>
      <c r="V119" s="1124"/>
      <c r="W119" s="1124"/>
      <c r="X119" s="1124"/>
      <c r="Y119" s="1124"/>
      <c r="Z119" s="1124"/>
      <c r="AA119" s="1124"/>
      <c r="AB119" s="1124"/>
      <c r="AC119" s="1124"/>
      <c r="AD119" s="1124"/>
      <c r="AE119" s="1124"/>
      <c r="AF119" s="1124"/>
      <c r="AG119" s="1124"/>
      <c r="AH119" s="1124"/>
      <c r="AI119" s="1124"/>
      <c r="AJ119" s="1124"/>
      <c r="AK119" s="1124"/>
      <c r="AL119" s="1124"/>
      <c r="AM119" s="1124"/>
      <c r="AN119" s="1124"/>
      <c r="AO119" s="981"/>
    </row>
    <row r="120" spans="2:41" ht="15.75" x14ac:dyDescent="0.25">
      <c r="B120" s="981"/>
      <c r="C120" s="1124"/>
      <c r="D120" s="986" t="s">
        <v>43</v>
      </c>
      <c r="E120" s="1063">
        <f t="shared" si="47"/>
        <v>79.748363427306487</v>
      </c>
      <c r="F120" s="1063">
        <f t="shared" si="47"/>
        <v>723.18138917344004</v>
      </c>
      <c r="G120" s="1063">
        <f t="shared" si="47"/>
        <v>855.61365863161404</v>
      </c>
      <c r="H120" s="1063">
        <f t="shared" si="47"/>
        <v>860.33263454183555</v>
      </c>
      <c r="I120" s="1064">
        <f t="shared" si="47"/>
        <v>865.05161045205705</v>
      </c>
      <c r="J120" s="988" t="str">
        <f t="shared" si="41"/>
        <v>ICE Bioethanol</v>
      </c>
      <c r="K120" s="1083">
        <f t="shared" si="42"/>
        <v>0</v>
      </c>
      <c r="L120" s="1083">
        <f t="shared" si="43"/>
        <v>0</v>
      </c>
      <c r="M120" s="1083">
        <f t="shared" si="44"/>
        <v>0</v>
      </c>
      <c r="N120" s="1083">
        <f t="shared" si="45"/>
        <v>0</v>
      </c>
      <c r="O120" s="1084">
        <f t="shared" si="46"/>
        <v>0</v>
      </c>
      <c r="P120" s="1128"/>
      <c r="Q120" s="1128"/>
      <c r="R120" s="1125"/>
      <c r="S120" s="1124"/>
      <c r="T120" s="1124"/>
      <c r="U120" s="1124"/>
      <c r="V120" s="1124"/>
      <c r="W120" s="1124"/>
      <c r="X120" s="1124"/>
      <c r="Y120" s="1124"/>
      <c r="Z120" s="1124"/>
      <c r="AA120" s="1124"/>
      <c r="AB120" s="1124"/>
      <c r="AC120" s="1124"/>
      <c r="AD120" s="1124"/>
      <c r="AE120" s="1124"/>
      <c r="AF120" s="1124"/>
      <c r="AG120" s="1124"/>
      <c r="AH120" s="1124"/>
      <c r="AI120" s="1124"/>
      <c r="AJ120" s="1124"/>
      <c r="AK120" s="1124"/>
      <c r="AL120" s="1124"/>
      <c r="AM120" s="1124"/>
      <c r="AN120" s="1124"/>
      <c r="AO120" s="981"/>
    </row>
    <row r="121" spans="2:41" ht="15.75" x14ac:dyDescent="0.25">
      <c r="B121" s="981"/>
      <c r="C121" s="1124"/>
      <c r="D121" s="986"/>
      <c r="E121" s="531"/>
      <c r="F121" s="531"/>
      <c r="G121" s="531"/>
      <c r="H121" s="531"/>
      <c r="I121" s="1062"/>
      <c r="J121" s="988" t="str">
        <f t="shared" si="41"/>
        <v>ICE Biogas</v>
      </c>
      <c r="K121" s="1083">
        <f t="shared" si="42"/>
        <v>0</v>
      </c>
      <c r="L121" s="1083">
        <f t="shared" si="43"/>
        <v>0</v>
      </c>
      <c r="M121" s="1083">
        <f t="shared" si="44"/>
        <v>0</v>
      </c>
      <c r="N121" s="1083">
        <f t="shared" si="45"/>
        <v>0</v>
      </c>
      <c r="O121" s="1084">
        <f t="shared" si="46"/>
        <v>0</v>
      </c>
      <c r="P121" s="1128"/>
      <c r="Q121" s="1128"/>
      <c r="R121" s="1125"/>
      <c r="S121" s="1124"/>
      <c r="T121" s="1124"/>
      <c r="U121" s="1124"/>
      <c r="V121" s="1124"/>
      <c r="W121" s="1124"/>
      <c r="X121" s="1124"/>
      <c r="Y121" s="1124"/>
      <c r="Z121" s="1124"/>
      <c r="AA121" s="1124"/>
      <c r="AB121" s="1124"/>
      <c r="AC121" s="1124"/>
      <c r="AD121" s="1124"/>
      <c r="AE121" s="1124"/>
      <c r="AF121" s="1124"/>
      <c r="AG121" s="1124"/>
      <c r="AH121" s="1124"/>
      <c r="AI121" s="1124"/>
      <c r="AJ121" s="1124"/>
      <c r="AK121" s="1124"/>
      <c r="AL121" s="1124"/>
      <c r="AM121" s="1124"/>
      <c r="AN121" s="1124"/>
      <c r="AO121" s="981"/>
    </row>
    <row r="122" spans="2:41" ht="15.75" x14ac:dyDescent="0.25">
      <c r="B122" s="981"/>
      <c r="C122" s="1124"/>
      <c r="D122" s="986"/>
      <c r="E122" s="531"/>
      <c r="F122" s="531"/>
      <c r="G122" s="531"/>
      <c r="H122" s="531"/>
      <c r="I122" s="1062"/>
      <c r="J122" s="988" t="str">
        <f t="shared" si="41"/>
        <v>ICE hybrid vehicle Bio-methanol</v>
      </c>
      <c r="K122" s="1083">
        <f t="shared" si="42"/>
        <v>0</v>
      </c>
      <c r="L122" s="1083">
        <f t="shared" si="43"/>
        <v>0</v>
      </c>
      <c r="M122" s="1083">
        <f t="shared" si="44"/>
        <v>0</v>
      </c>
      <c r="N122" s="1083">
        <f t="shared" si="45"/>
        <v>0</v>
      </c>
      <c r="O122" s="1084">
        <f t="shared" si="46"/>
        <v>0</v>
      </c>
      <c r="P122" s="1128"/>
      <c r="Q122" s="1128"/>
      <c r="R122" s="1125"/>
      <c r="S122" s="1124"/>
      <c r="T122" s="1124"/>
      <c r="U122" s="1124"/>
      <c r="V122" s="1124"/>
      <c r="W122" s="1124"/>
      <c r="X122" s="1124"/>
      <c r="Y122" s="1124"/>
      <c r="Z122" s="1124"/>
      <c r="AA122" s="1124"/>
      <c r="AB122" s="1124"/>
      <c r="AC122" s="1124"/>
      <c r="AD122" s="1124"/>
      <c r="AE122" s="1124"/>
      <c r="AF122" s="1124"/>
      <c r="AG122" s="1124"/>
      <c r="AH122" s="1124"/>
      <c r="AI122" s="1124"/>
      <c r="AJ122" s="1124"/>
      <c r="AK122" s="1124"/>
      <c r="AL122" s="1124"/>
      <c r="AM122" s="1124"/>
      <c r="AN122" s="1124"/>
      <c r="AO122" s="981"/>
    </row>
    <row r="123" spans="2:41" ht="15.75" x14ac:dyDescent="0.25">
      <c r="B123" s="981"/>
      <c r="C123" s="1124"/>
      <c r="D123" s="986"/>
      <c r="E123" s="531"/>
      <c r="F123" s="531"/>
      <c r="G123" s="531"/>
      <c r="H123" s="531"/>
      <c r="I123" s="1062"/>
      <c r="J123" s="988" t="str">
        <f t="shared" si="41"/>
        <v>ICE hybrid vehicle Diesel</v>
      </c>
      <c r="K123" s="1083">
        <f t="shared" si="42"/>
        <v>0</v>
      </c>
      <c r="L123" s="1083">
        <f t="shared" si="43"/>
        <v>0</v>
      </c>
      <c r="M123" s="1083">
        <f t="shared" si="44"/>
        <v>0</v>
      </c>
      <c r="N123" s="1083">
        <f t="shared" si="45"/>
        <v>0</v>
      </c>
      <c r="O123" s="1084">
        <f t="shared" si="46"/>
        <v>0</v>
      </c>
      <c r="P123" s="1128"/>
      <c r="Q123" s="1128"/>
      <c r="R123" s="1125"/>
      <c r="S123" s="1124"/>
      <c r="T123" s="1124"/>
      <c r="U123" s="1124"/>
      <c r="V123" s="1124"/>
      <c r="W123" s="1124"/>
      <c r="X123" s="1124"/>
      <c r="Y123" s="1124"/>
      <c r="Z123" s="1124"/>
      <c r="AA123" s="1124"/>
      <c r="AB123" s="1124"/>
      <c r="AC123" s="1124"/>
      <c r="AD123" s="1124"/>
      <c r="AE123" s="1124"/>
      <c r="AF123" s="1124"/>
      <c r="AG123" s="1124"/>
      <c r="AH123" s="1124"/>
      <c r="AI123" s="1124"/>
      <c r="AJ123" s="1124"/>
      <c r="AK123" s="1124"/>
      <c r="AL123" s="1124"/>
      <c r="AM123" s="1124"/>
      <c r="AN123" s="1124"/>
      <c r="AO123" s="981"/>
    </row>
    <row r="124" spans="2:41" ht="15.75" x14ac:dyDescent="0.25">
      <c r="B124" s="981"/>
      <c r="C124" s="1124"/>
      <c r="D124" s="986"/>
      <c r="E124" s="531"/>
      <c r="F124" s="531"/>
      <c r="G124" s="531"/>
      <c r="H124" s="531"/>
      <c r="I124" s="1062"/>
      <c r="J124" s="988" t="str">
        <f t="shared" si="41"/>
        <v>ICE Plug-in hybrid vehicle Bio-methanol</v>
      </c>
      <c r="K124" s="1083">
        <f t="shared" si="42"/>
        <v>0</v>
      </c>
      <c r="L124" s="1083">
        <f t="shared" si="43"/>
        <v>0</v>
      </c>
      <c r="M124" s="1083">
        <f t="shared" si="44"/>
        <v>0</v>
      </c>
      <c r="N124" s="1083">
        <f t="shared" si="45"/>
        <v>0</v>
      </c>
      <c r="O124" s="1084">
        <f t="shared" si="46"/>
        <v>0</v>
      </c>
      <c r="P124" s="1128"/>
      <c r="Q124" s="1128"/>
      <c r="R124" s="1125"/>
      <c r="S124" s="1124"/>
      <c r="T124" s="1124"/>
      <c r="U124" s="1124"/>
      <c r="V124" s="1124"/>
      <c r="W124" s="1124"/>
      <c r="X124" s="1124"/>
      <c r="Y124" s="1124"/>
      <c r="Z124" s="1124"/>
      <c r="AA124" s="1124"/>
      <c r="AB124" s="1124"/>
      <c r="AC124" s="1124"/>
      <c r="AD124" s="1124"/>
      <c r="AE124" s="1124"/>
      <c r="AF124" s="1124"/>
      <c r="AG124" s="1124"/>
      <c r="AH124" s="1124"/>
      <c r="AI124" s="1124"/>
      <c r="AJ124" s="1124"/>
      <c r="AK124" s="1124"/>
      <c r="AL124" s="1124"/>
      <c r="AM124" s="1124"/>
      <c r="AN124" s="1124"/>
      <c r="AO124" s="981"/>
    </row>
    <row r="125" spans="2:41" ht="15.75" x14ac:dyDescent="0.25">
      <c r="B125" s="981"/>
      <c r="C125" s="1124"/>
      <c r="D125" s="986"/>
      <c r="E125" s="531"/>
      <c r="F125" s="531"/>
      <c r="G125" s="531"/>
      <c r="H125" s="531"/>
      <c r="I125" s="1062"/>
      <c r="J125" s="988" t="str">
        <f t="shared" si="41"/>
        <v>ICE Plug-in hybrid vehicle Diesel</v>
      </c>
      <c r="K125" s="1083">
        <f t="shared" si="42"/>
        <v>0</v>
      </c>
      <c r="L125" s="1083">
        <f t="shared" si="43"/>
        <v>0</v>
      </c>
      <c r="M125" s="1083">
        <f t="shared" si="44"/>
        <v>0</v>
      </c>
      <c r="N125" s="1083">
        <f t="shared" si="45"/>
        <v>0</v>
      </c>
      <c r="O125" s="1084">
        <f t="shared" si="46"/>
        <v>0</v>
      </c>
      <c r="P125" s="1128"/>
      <c r="Q125" s="1128"/>
      <c r="R125" s="1125"/>
      <c r="S125" s="1124"/>
      <c r="T125" s="1124"/>
      <c r="U125" s="1124"/>
      <c r="V125" s="1124"/>
      <c r="W125" s="1124"/>
      <c r="X125" s="1124"/>
      <c r="Y125" s="1124"/>
      <c r="Z125" s="1124"/>
      <c r="AA125" s="1124"/>
      <c r="AB125" s="1124"/>
      <c r="AC125" s="1124"/>
      <c r="AD125" s="1124"/>
      <c r="AE125" s="1124"/>
      <c r="AF125" s="1124"/>
      <c r="AG125" s="1124"/>
      <c r="AH125" s="1124"/>
      <c r="AI125" s="1124"/>
      <c r="AJ125" s="1124"/>
      <c r="AK125" s="1124"/>
      <c r="AL125" s="1124"/>
      <c r="AM125" s="1124"/>
      <c r="AN125" s="1124"/>
      <c r="AO125" s="981"/>
    </row>
    <row r="126" spans="2:41" ht="15.75" x14ac:dyDescent="0.25">
      <c r="B126" s="981"/>
      <c r="C126" s="1124"/>
      <c r="D126" s="986"/>
      <c r="E126" s="531"/>
      <c r="F126" s="531"/>
      <c r="G126" s="531"/>
      <c r="H126" s="531"/>
      <c r="I126" s="1062"/>
      <c r="J126" s="988" t="s">
        <v>483</v>
      </c>
      <c r="K126" s="1083">
        <f t="shared" si="42"/>
        <v>0</v>
      </c>
      <c r="L126" s="1083">
        <f t="shared" si="43"/>
        <v>0</v>
      </c>
      <c r="M126" s="1083">
        <f t="shared" si="44"/>
        <v>0</v>
      </c>
      <c r="N126" s="1083">
        <f t="shared" si="45"/>
        <v>0</v>
      </c>
      <c r="O126" s="1084">
        <f t="shared" si="46"/>
        <v>0</v>
      </c>
      <c r="P126" s="1128"/>
      <c r="Q126" s="1128"/>
      <c r="R126" s="1125"/>
      <c r="S126" s="1124"/>
      <c r="T126" s="1124"/>
      <c r="U126" s="1124"/>
      <c r="V126" s="1124"/>
      <c r="W126" s="1124"/>
      <c r="X126" s="1124"/>
      <c r="Y126" s="1124"/>
      <c r="Z126" s="1124"/>
      <c r="AA126" s="1124"/>
      <c r="AB126" s="1124"/>
      <c r="AC126" s="1124"/>
      <c r="AD126" s="1124"/>
      <c r="AE126" s="1124"/>
      <c r="AF126" s="1124"/>
      <c r="AG126" s="1124"/>
      <c r="AH126" s="1124"/>
      <c r="AI126" s="1124"/>
      <c r="AJ126" s="1124"/>
      <c r="AK126" s="1124"/>
      <c r="AL126" s="1124"/>
      <c r="AM126" s="1124"/>
      <c r="AN126" s="1124"/>
      <c r="AO126" s="981"/>
    </row>
    <row r="127" spans="2:41" ht="15.75" x14ac:dyDescent="0.25">
      <c r="B127" s="981"/>
      <c r="C127" s="1124"/>
      <c r="D127" s="986" t="s">
        <v>3</v>
      </c>
      <c r="E127" s="1063">
        <f t="shared" ref="E127:I128" si="48">AC86+Q108</f>
        <v>12927.020143081058</v>
      </c>
      <c r="F127" s="1063">
        <f t="shared" si="48"/>
        <v>22213.328754290065</v>
      </c>
      <c r="G127" s="1063">
        <f t="shared" si="48"/>
        <v>27204.954707004435</v>
      </c>
      <c r="H127" s="1063">
        <f t="shared" si="48"/>
        <v>32413.336054017098</v>
      </c>
      <c r="I127" s="1064">
        <f t="shared" si="48"/>
        <v>37621.717401029746</v>
      </c>
      <c r="J127" s="988" t="str">
        <f t="shared" ref="J127:J132" si="49">J149</f>
        <v>ICE Diesel</v>
      </c>
      <c r="K127" s="1083">
        <f t="shared" si="42"/>
        <v>0</v>
      </c>
      <c r="L127" s="1083">
        <f t="shared" si="43"/>
        <v>0</v>
      </c>
      <c r="M127" s="1083">
        <f t="shared" si="44"/>
        <v>0</v>
      </c>
      <c r="N127" s="1083">
        <f t="shared" si="45"/>
        <v>0</v>
      </c>
      <c r="O127" s="1084">
        <f t="shared" si="46"/>
        <v>0</v>
      </c>
      <c r="P127" s="1128"/>
      <c r="Q127" s="1128"/>
      <c r="R127" s="1125"/>
      <c r="S127" s="1124"/>
      <c r="T127" s="1124"/>
      <c r="U127" s="1124"/>
      <c r="V127" s="1124"/>
      <c r="W127" s="1124"/>
      <c r="X127" s="1124"/>
      <c r="Y127" s="1124"/>
      <c r="Z127" s="1124"/>
      <c r="AA127" s="1124"/>
      <c r="AB127" s="1124"/>
      <c r="AC127" s="1124"/>
      <c r="AD127" s="1124"/>
      <c r="AE127" s="1124"/>
      <c r="AF127" s="1124"/>
      <c r="AG127" s="1124"/>
      <c r="AH127" s="1124"/>
      <c r="AI127" s="1124"/>
      <c r="AJ127" s="1124"/>
      <c r="AK127" s="1124"/>
      <c r="AL127" s="1124"/>
      <c r="AM127" s="1124"/>
      <c r="AN127" s="1124"/>
      <c r="AO127" s="981"/>
    </row>
    <row r="128" spans="2:41" ht="15.75" x14ac:dyDescent="0.25">
      <c r="B128" s="981"/>
      <c r="C128" s="1124"/>
      <c r="D128" s="986" t="s">
        <v>41</v>
      </c>
      <c r="E128" s="1063">
        <f t="shared" si="48"/>
        <v>26488.641786489145</v>
      </c>
      <c r="F128" s="1063">
        <f t="shared" si="48"/>
        <v>20682.004018595631</v>
      </c>
      <c r="G128" s="1063">
        <f t="shared" si="48"/>
        <v>21205.443523565467</v>
      </c>
      <c r="H128" s="1063">
        <f t="shared" si="48"/>
        <v>17126.976260885775</v>
      </c>
      <c r="I128" s="1064">
        <f t="shared" si="48"/>
        <v>13048.508998206091</v>
      </c>
      <c r="J128" s="988" t="str">
        <f t="shared" si="49"/>
        <v>ICE Petrol</v>
      </c>
      <c r="K128" s="1083">
        <f t="shared" si="42"/>
        <v>0</v>
      </c>
      <c r="L128" s="1083">
        <f t="shared" si="43"/>
        <v>0</v>
      </c>
      <c r="M128" s="1083">
        <f t="shared" si="44"/>
        <v>0</v>
      </c>
      <c r="N128" s="1083">
        <f t="shared" si="45"/>
        <v>0</v>
      </c>
      <c r="O128" s="1084">
        <f t="shared" si="46"/>
        <v>0</v>
      </c>
      <c r="P128" s="1128"/>
      <c r="Q128" s="1128"/>
      <c r="R128" s="1125"/>
      <c r="S128" s="1124"/>
      <c r="T128" s="1124"/>
      <c r="U128" s="1124"/>
      <c r="V128" s="1124"/>
      <c r="W128" s="1124"/>
      <c r="X128" s="1124"/>
      <c r="Y128" s="1124"/>
      <c r="Z128" s="1124"/>
      <c r="AA128" s="1124"/>
      <c r="AB128" s="1124"/>
      <c r="AC128" s="1124"/>
      <c r="AD128" s="1124"/>
      <c r="AE128" s="1124"/>
      <c r="AF128" s="1124"/>
      <c r="AG128" s="1124"/>
      <c r="AH128" s="1124"/>
      <c r="AI128" s="1124"/>
      <c r="AJ128" s="1124"/>
      <c r="AK128" s="1124"/>
      <c r="AL128" s="1124"/>
      <c r="AM128" s="1124"/>
      <c r="AN128" s="1124"/>
      <c r="AO128" s="981"/>
    </row>
    <row r="129" spans="2:49" ht="15.75" x14ac:dyDescent="0.25">
      <c r="B129" s="981"/>
      <c r="C129" s="1124"/>
      <c r="D129" s="1004"/>
      <c r="E129" s="764"/>
      <c r="F129" s="764"/>
      <c r="G129" s="764"/>
      <c r="H129" s="764"/>
      <c r="I129" s="1061"/>
      <c r="J129" s="988" t="str">
        <f t="shared" si="49"/>
        <v>ICE Syn-methanol</v>
      </c>
      <c r="K129" s="1083">
        <f t="shared" si="42"/>
        <v>0</v>
      </c>
      <c r="L129" s="1083">
        <f t="shared" si="43"/>
        <v>0</v>
      </c>
      <c r="M129" s="1083">
        <f t="shared" si="44"/>
        <v>0</v>
      </c>
      <c r="N129" s="1083">
        <f t="shared" si="45"/>
        <v>0</v>
      </c>
      <c r="O129" s="1084">
        <f t="shared" si="46"/>
        <v>0</v>
      </c>
      <c r="P129" s="1125"/>
      <c r="Q129" s="1125"/>
      <c r="R129" s="1125"/>
      <c r="S129" s="1124"/>
      <c r="T129" s="1124"/>
      <c r="U129" s="1124"/>
      <c r="V129" s="1124"/>
      <c r="W129" s="1124"/>
      <c r="X129" s="1124"/>
      <c r="Y129" s="1124"/>
      <c r="Z129" s="1124"/>
      <c r="AA129" s="1124"/>
      <c r="AB129" s="1124"/>
      <c r="AC129" s="1124"/>
      <c r="AD129" s="1124"/>
      <c r="AE129" s="1124"/>
      <c r="AF129" s="1124"/>
      <c r="AG129" s="1124"/>
      <c r="AH129" s="1124"/>
      <c r="AI129" s="1124"/>
      <c r="AJ129" s="1124"/>
      <c r="AK129" s="1124"/>
      <c r="AL129" s="1124"/>
      <c r="AM129" s="1124"/>
      <c r="AN129" s="1124"/>
      <c r="AO129" s="981"/>
      <c r="AT129" s="513"/>
      <c r="AU129" s="513"/>
      <c r="AV129" s="513"/>
      <c r="AW129" s="513"/>
    </row>
    <row r="130" spans="2:49" ht="15.75" x14ac:dyDescent="0.25">
      <c r="B130" s="981"/>
      <c r="C130" s="1124"/>
      <c r="D130" s="986"/>
      <c r="E130" s="764"/>
      <c r="F130" s="764"/>
      <c r="G130" s="764"/>
      <c r="H130" s="764"/>
      <c r="I130" s="1061"/>
      <c r="J130" s="988" t="str">
        <f t="shared" si="49"/>
        <v>ICE hybrid vehicle Syn-methanol</v>
      </c>
      <c r="K130" s="1083">
        <f t="shared" si="42"/>
        <v>0</v>
      </c>
      <c r="L130" s="1083">
        <f t="shared" si="43"/>
        <v>0</v>
      </c>
      <c r="M130" s="1083">
        <f t="shared" si="44"/>
        <v>0</v>
      </c>
      <c r="N130" s="1083">
        <f t="shared" si="45"/>
        <v>0</v>
      </c>
      <c r="O130" s="1084">
        <f t="shared" si="46"/>
        <v>0</v>
      </c>
      <c r="P130" s="1125"/>
      <c r="Q130" s="1124"/>
      <c r="R130" s="1124"/>
      <c r="S130" s="1124"/>
      <c r="T130" s="1124"/>
      <c r="U130" s="1124"/>
      <c r="V130" s="1124"/>
      <c r="W130" s="1124"/>
      <c r="X130" s="1124"/>
      <c r="Y130" s="1124"/>
      <c r="Z130" s="1124"/>
      <c r="AA130" s="1124"/>
      <c r="AB130" s="1124"/>
      <c r="AC130" s="1124"/>
      <c r="AD130" s="1124"/>
      <c r="AE130" s="1124"/>
      <c r="AF130" s="1124"/>
      <c r="AG130" s="1124"/>
      <c r="AH130" s="1124"/>
      <c r="AI130" s="1124"/>
      <c r="AJ130" s="1124"/>
      <c r="AK130" s="1124"/>
      <c r="AL130" s="1124"/>
      <c r="AM130" s="1124"/>
      <c r="AN130" s="1124"/>
      <c r="AO130" s="981"/>
      <c r="AR130" s="513"/>
      <c r="AS130" s="513"/>
      <c r="AT130" s="513"/>
      <c r="AU130" s="513"/>
    </row>
    <row r="131" spans="2:49" ht="15.75" x14ac:dyDescent="0.25">
      <c r="B131" s="981"/>
      <c r="C131" s="1124"/>
      <c r="D131" s="986"/>
      <c r="E131" s="764"/>
      <c r="F131" s="764"/>
      <c r="G131" s="764"/>
      <c r="H131" s="764"/>
      <c r="I131" s="1061"/>
      <c r="J131" s="988" t="str">
        <f t="shared" si="49"/>
        <v>ICE Plug-in hybrid vehicle Syn-methanol</v>
      </c>
      <c r="K131" s="1083">
        <f t="shared" si="42"/>
        <v>0</v>
      </c>
      <c r="L131" s="1083">
        <f t="shared" si="43"/>
        <v>0</v>
      </c>
      <c r="M131" s="1083">
        <f t="shared" si="44"/>
        <v>0</v>
      </c>
      <c r="N131" s="1083">
        <f t="shared" si="45"/>
        <v>0</v>
      </c>
      <c r="O131" s="1084">
        <f t="shared" si="46"/>
        <v>0</v>
      </c>
      <c r="P131" s="1125"/>
      <c r="Q131" s="1124"/>
      <c r="R131" s="1124"/>
      <c r="S131" s="1124"/>
      <c r="T131" s="1124"/>
      <c r="U131" s="1124"/>
      <c r="V131" s="1124"/>
      <c r="W131" s="1124"/>
      <c r="X131" s="1124"/>
      <c r="Y131" s="1124"/>
      <c r="Z131" s="1124"/>
      <c r="AA131" s="1124"/>
      <c r="AB131" s="1124"/>
      <c r="AC131" s="1124"/>
      <c r="AD131" s="1124"/>
      <c r="AE131" s="1124"/>
      <c r="AF131" s="1124"/>
      <c r="AG131" s="1124"/>
      <c r="AH131" s="1124"/>
      <c r="AI131" s="1124"/>
      <c r="AJ131" s="1124"/>
      <c r="AK131" s="1124"/>
      <c r="AL131" s="1124"/>
      <c r="AM131" s="1124"/>
      <c r="AN131" s="1124"/>
      <c r="AO131" s="981"/>
      <c r="AR131" s="513"/>
      <c r="AS131" s="513"/>
      <c r="AT131" s="513"/>
      <c r="AU131" s="513"/>
    </row>
    <row r="132" spans="2:49" ht="16.5" thickBot="1" x14ac:dyDescent="0.3">
      <c r="B132" s="981"/>
      <c r="C132" s="1124"/>
      <c r="D132" s="994"/>
      <c r="E132" s="1065"/>
      <c r="F132" s="1065"/>
      <c r="G132" s="1065"/>
      <c r="H132" s="1065"/>
      <c r="I132" s="1066"/>
      <c r="J132" s="994" t="str">
        <f t="shared" si="49"/>
        <v>No shift in technology</v>
      </c>
      <c r="K132" s="1091">
        <f t="shared" si="42"/>
        <v>39614.122569736166</v>
      </c>
      <c r="L132" s="1091">
        <f t="shared" si="43"/>
        <v>44970.570302473621</v>
      </c>
      <c r="M132" s="1091">
        <f t="shared" si="44"/>
        <v>50682.45420955414</v>
      </c>
      <c r="N132" s="1091">
        <f t="shared" si="45"/>
        <v>51825.139997806851</v>
      </c>
      <c r="O132" s="1092">
        <f t="shared" si="46"/>
        <v>52967.825786059533</v>
      </c>
      <c r="P132" s="1125"/>
      <c r="Q132" s="1124"/>
      <c r="R132" s="1124"/>
      <c r="S132" s="1124"/>
      <c r="T132" s="1124"/>
      <c r="U132" s="1124"/>
      <c r="V132" s="1124"/>
      <c r="W132" s="1124"/>
      <c r="X132" s="1124"/>
      <c r="Y132" s="1124"/>
      <c r="Z132" s="1124"/>
      <c r="AA132" s="1124"/>
      <c r="AB132" s="1124"/>
      <c r="AC132" s="1124"/>
      <c r="AD132" s="1124"/>
      <c r="AE132" s="1124"/>
      <c r="AF132" s="1124"/>
      <c r="AG132" s="1124"/>
      <c r="AH132" s="1124"/>
      <c r="AI132" s="1124"/>
      <c r="AJ132" s="1124"/>
      <c r="AK132" s="1124"/>
      <c r="AL132" s="1124"/>
      <c r="AM132" s="1124"/>
      <c r="AN132" s="1124"/>
      <c r="AO132" s="981"/>
      <c r="AR132" s="513"/>
      <c r="AS132" s="513"/>
      <c r="AT132" s="513"/>
      <c r="AU132" s="513"/>
    </row>
    <row r="133" spans="2:49" ht="17.25" thickTop="1" thickBot="1" x14ac:dyDescent="0.3">
      <c r="B133" s="981"/>
      <c r="C133" s="1124"/>
      <c r="D133" s="996" t="s">
        <v>60</v>
      </c>
      <c r="E133" s="1067">
        <f>SUM(E116:E132)</f>
        <v>39614.122569736173</v>
      </c>
      <c r="F133" s="1067">
        <f>SUM(F116:F132)</f>
        <v>44970.570302473621</v>
      </c>
      <c r="G133" s="1067">
        <f>SUM(G116:G132)</f>
        <v>50682.45420955414</v>
      </c>
      <c r="H133" s="1067">
        <f>SUM(H116:H132)</f>
        <v>51825.139997806851</v>
      </c>
      <c r="I133" s="1068">
        <f>SUM(I116:I132)</f>
        <v>52967.825786059548</v>
      </c>
      <c r="J133" s="996" t="s">
        <v>60</v>
      </c>
      <c r="K133" s="1087">
        <f>SUM(K116:K132)</f>
        <v>39614.122569736166</v>
      </c>
      <c r="L133" s="1087">
        <f>SUM(L116:L132)</f>
        <v>44970.570302473621</v>
      </c>
      <c r="M133" s="1087">
        <f>SUM(M116:M132)</f>
        <v>50682.45420955414</v>
      </c>
      <c r="N133" s="1087">
        <f>SUM(N116:N132)</f>
        <v>51825.139997806851</v>
      </c>
      <c r="O133" s="1088">
        <f>SUM(O116:O132)</f>
        <v>52967.825786059533</v>
      </c>
      <c r="P133" s="1125"/>
      <c r="Q133" s="1124"/>
      <c r="R133" s="1124"/>
      <c r="S133" s="1124"/>
      <c r="T133" s="1124"/>
      <c r="U133" s="1124"/>
      <c r="V133" s="1124"/>
      <c r="W133" s="1124"/>
      <c r="X133" s="1124"/>
      <c r="Y133" s="1124"/>
      <c r="Z133" s="1124"/>
      <c r="AA133" s="1124"/>
      <c r="AB133" s="1124"/>
      <c r="AC133" s="1124"/>
      <c r="AD133" s="1124"/>
      <c r="AE133" s="1124"/>
      <c r="AF133" s="1124"/>
      <c r="AG133" s="1124"/>
      <c r="AH133" s="1124"/>
      <c r="AI133" s="1124"/>
      <c r="AJ133" s="1124"/>
      <c r="AK133" s="1124"/>
      <c r="AL133" s="1124"/>
      <c r="AM133" s="1124"/>
      <c r="AN133" s="1124"/>
      <c r="AO133" s="981"/>
      <c r="AR133" s="513"/>
      <c r="AS133" s="513"/>
      <c r="AT133" s="513"/>
      <c r="AU133" s="513"/>
    </row>
    <row r="134" spans="2:49" x14ac:dyDescent="0.25">
      <c r="B134" s="981"/>
      <c r="C134" s="1124"/>
      <c r="D134" s="1125"/>
      <c r="E134" s="1125"/>
      <c r="F134" s="1125"/>
      <c r="G134" s="1125"/>
      <c r="H134" s="1125"/>
      <c r="I134" s="1125"/>
      <c r="J134" s="1125"/>
      <c r="K134" s="1125"/>
      <c r="L134" s="1125"/>
      <c r="M134" s="1125"/>
      <c r="N134" s="1125"/>
      <c r="O134" s="1125"/>
      <c r="P134" s="1125"/>
      <c r="Q134" s="1124"/>
      <c r="R134" s="1124"/>
      <c r="S134" s="1124"/>
      <c r="T134" s="1124"/>
      <c r="U134" s="1124"/>
      <c r="V134" s="1124"/>
      <c r="W134" s="1124"/>
      <c r="X134" s="1124"/>
      <c r="Y134" s="1124"/>
      <c r="Z134" s="1124"/>
      <c r="AA134" s="1124"/>
      <c r="AB134" s="1124"/>
      <c r="AC134" s="1124"/>
      <c r="AD134" s="1124"/>
      <c r="AE134" s="1124"/>
      <c r="AF134" s="1124"/>
      <c r="AG134" s="1124"/>
      <c r="AH134" s="1124"/>
      <c r="AI134" s="1124"/>
      <c r="AJ134" s="1124"/>
      <c r="AK134" s="1124"/>
      <c r="AL134" s="1124"/>
      <c r="AM134" s="1124"/>
      <c r="AN134" s="1124"/>
      <c r="AO134" s="981"/>
      <c r="AR134" s="513"/>
      <c r="AS134" s="513"/>
      <c r="AT134" s="513"/>
      <c r="AU134" s="513"/>
    </row>
    <row r="135" spans="2:49" ht="15.75" thickBot="1" x14ac:dyDescent="0.3">
      <c r="B135" s="981"/>
      <c r="C135" s="1124"/>
      <c r="D135" s="1124"/>
      <c r="E135" s="1124"/>
      <c r="F135" s="1124"/>
      <c r="G135" s="1124"/>
      <c r="H135" s="1124"/>
      <c r="I135" s="1124"/>
      <c r="J135" s="1124"/>
      <c r="K135" s="1124"/>
      <c r="L135" s="1124"/>
      <c r="M135" s="1124"/>
      <c r="N135" s="1124"/>
      <c r="O135" s="1124"/>
      <c r="P135" s="1125"/>
      <c r="Q135" s="1124"/>
      <c r="R135" s="1124"/>
      <c r="S135" s="1124"/>
      <c r="T135" s="1124"/>
      <c r="U135" s="1124"/>
      <c r="V135" s="1124"/>
      <c r="W135" s="1124"/>
      <c r="X135" s="1124"/>
      <c r="Y135" s="1124"/>
      <c r="Z135" s="1124"/>
      <c r="AA135" s="1124"/>
      <c r="AB135" s="1124"/>
      <c r="AC135" s="1124"/>
      <c r="AD135" s="1124"/>
      <c r="AE135" s="1124"/>
      <c r="AF135" s="1124"/>
      <c r="AG135" s="1124"/>
      <c r="AH135" s="1124"/>
      <c r="AI135" s="1124"/>
      <c r="AJ135" s="1124"/>
      <c r="AK135" s="1124"/>
      <c r="AL135" s="1124"/>
      <c r="AM135" s="1124"/>
      <c r="AN135" s="1124"/>
      <c r="AO135" s="981"/>
      <c r="AR135" s="513"/>
      <c r="AS135" s="513"/>
      <c r="AT135" s="513"/>
      <c r="AU135" s="513"/>
    </row>
    <row r="136" spans="2:49" x14ac:dyDescent="0.25">
      <c r="B136" s="981"/>
      <c r="C136" s="1124"/>
      <c r="D136" s="1124"/>
      <c r="E136" s="1124"/>
      <c r="F136" s="1124"/>
      <c r="G136" s="1125"/>
      <c r="H136" s="1125"/>
      <c r="I136" s="1125"/>
      <c r="J136" s="2017" t="s">
        <v>192</v>
      </c>
      <c r="K136" s="2018">
        <v>2010</v>
      </c>
      <c r="L136" s="2018">
        <v>2020</v>
      </c>
      <c r="M136" s="2018">
        <v>2030</v>
      </c>
      <c r="N136" s="2018">
        <v>2040</v>
      </c>
      <c r="O136" s="2019">
        <v>2050</v>
      </c>
      <c r="P136" s="2026" t="s">
        <v>227</v>
      </c>
      <c r="Q136" s="2027"/>
      <c r="R136" s="2028"/>
      <c r="S136" s="1124"/>
      <c r="T136" s="1124"/>
      <c r="U136" s="1124"/>
      <c r="V136" s="1124"/>
      <c r="W136" s="1124"/>
      <c r="X136" s="1124"/>
      <c r="Y136" s="1124"/>
      <c r="Z136" s="1124"/>
      <c r="AA136" s="1124"/>
      <c r="AB136" s="1124"/>
      <c r="AC136" s="1124"/>
      <c r="AD136" s="1124"/>
      <c r="AE136" s="1124"/>
      <c r="AF136" s="1124"/>
      <c r="AG136" s="1124"/>
      <c r="AH136" s="1124"/>
      <c r="AI136" s="1124"/>
      <c r="AJ136" s="1124"/>
      <c r="AK136" s="1124"/>
      <c r="AL136" s="1124"/>
      <c r="AM136" s="1124"/>
      <c r="AN136" s="1124"/>
      <c r="AO136" s="981"/>
      <c r="AR136" s="513"/>
      <c r="AS136" s="513"/>
      <c r="AT136" s="513"/>
      <c r="AU136" s="513"/>
    </row>
    <row r="137" spans="2:49" ht="15.75" thickBot="1" x14ac:dyDescent="0.3">
      <c r="B137" s="981"/>
      <c r="C137" s="1124"/>
      <c r="D137" s="1124"/>
      <c r="E137" s="1124"/>
      <c r="F137" s="1124"/>
      <c r="G137" s="1125"/>
      <c r="H137" s="1125"/>
      <c r="I137" s="1125"/>
      <c r="J137" s="971" t="s">
        <v>391</v>
      </c>
      <c r="K137" s="983">
        <v>2010</v>
      </c>
      <c r="L137" s="983">
        <v>2020</v>
      </c>
      <c r="M137" s="983">
        <v>2030</v>
      </c>
      <c r="N137" s="983">
        <v>2040</v>
      </c>
      <c r="O137" s="984">
        <v>2050</v>
      </c>
      <c r="P137" s="2029"/>
      <c r="Q137" s="2030"/>
      <c r="R137" s="2031"/>
      <c r="S137" s="1124"/>
      <c r="T137" s="1124"/>
      <c r="U137" s="1124"/>
      <c r="V137" s="1124"/>
      <c r="W137" s="1124"/>
      <c r="X137" s="1124"/>
      <c r="Y137" s="1124"/>
      <c r="Z137" s="1124"/>
      <c r="AA137" s="1124"/>
      <c r="AB137" s="1124"/>
      <c r="AC137" s="1124"/>
      <c r="AD137" s="1124"/>
      <c r="AE137" s="1124"/>
      <c r="AF137" s="1124"/>
      <c r="AG137" s="1124"/>
      <c r="AH137" s="1124"/>
      <c r="AI137" s="1124"/>
      <c r="AJ137" s="1124"/>
      <c r="AK137" s="1124"/>
      <c r="AL137" s="1124"/>
      <c r="AM137" s="1124"/>
      <c r="AN137" s="1124"/>
      <c r="AO137" s="981"/>
      <c r="AR137" s="513"/>
      <c r="AS137" s="513"/>
      <c r="AT137" s="513"/>
      <c r="AU137" s="513"/>
    </row>
    <row r="138" spans="2:49" ht="16.5" thickBot="1" x14ac:dyDescent="0.3">
      <c r="B138" s="981"/>
      <c r="C138" s="1124"/>
      <c r="D138" s="1124"/>
      <c r="E138" s="1124"/>
      <c r="F138" s="1124"/>
      <c r="G138" s="1125"/>
      <c r="H138" s="1125"/>
      <c r="I138" s="1125"/>
      <c r="J138" s="999" t="str">
        <f t="shared" ref="J138:J147" si="50">J50</f>
        <v>Battery electric vehicles</v>
      </c>
      <c r="K138" s="1089">
        <f t="shared" ref="K138:O140" si="51">K116-E116</f>
        <v>0</v>
      </c>
      <c r="L138" s="1089">
        <f t="shared" si="51"/>
        <v>0</v>
      </c>
      <c r="M138" s="1089">
        <f t="shared" si="51"/>
        <v>0</v>
      </c>
      <c r="N138" s="1089">
        <f t="shared" si="51"/>
        <v>0</v>
      </c>
      <c r="O138" s="1090">
        <f t="shared" si="51"/>
        <v>0</v>
      </c>
      <c r="P138" s="2032"/>
      <c r="Q138" s="2033"/>
      <c r="R138" s="2034"/>
      <c r="S138" s="1124"/>
      <c r="T138" s="1124"/>
      <c r="U138" s="1124"/>
      <c r="V138" s="1124"/>
      <c r="W138" s="1124"/>
      <c r="X138" s="1124"/>
      <c r="Y138" s="1124"/>
      <c r="Z138" s="1124"/>
      <c r="AA138" s="1124"/>
      <c r="AB138" s="1124"/>
      <c r="AC138" s="1124"/>
      <c r="AD138" s="1124"/>
      <c r="AE138" s="1124"/>
      <c r="AF138" s="1124"/>
      <c r="AG138" s="1124"/>
      <c r="AH138" s="1124"/>
      <c r="AI138" s="1124"/>
      <c r="AJ138" s="1124"/>
      <c r="AK138" s="1124"/>
      <c r="AL138" s="1124"/>
      <c r="AM138" s="1124"/>
      <c r="AN138" s="1124"/>
      <c r="AO138" s="981"/>
      <c r="AR138" s="513"/>
      <c r="AS138" s="513"/>
      <c r="AT138" s="513"/>
      <c r="AU138" s="513"/>
    </row>
    <row r="139" spans="2:49" ht="15.75" x14ac:dyDescent="0.25">
      <c r="B139" s="981"/>
      <c r="C139" s="1124"/>
      <c r="D139" s="1124"/>
      <c r="E139" s="1124"/>
      <c r="F139" s="1124"/>
      <c r="G139" s="1125"/>
      <c r="H139" s="1125"/>
      <c r="I139" s="1125"/>
      <c r="J139" s="988" t="str">
        <f t="shared" si="50"/>
        <v>Fuel cell hybrid vehicle Syn-methanol</v>
      </c>
      <c r="K139" s="1083">
        <f t="shared" si="51"/>
        <v>0</v>
      </c>
      <c r="L139" s="1083">
        <f t="shared" si="51"/>
        <v>0</v>
      </c>
      <c r="M139" s="1083">
        <f t="shared" si="51"/>
        <v>0</v>
      </c>
      <c r="N139" s="1083">
        <f t="shared" si="51"/>
        <v>0</v>
      </c>
      <c r="O139" s="1084">
        <f t="shared" si="51"/>
        <v>0</v>
      </c>
      <c r="P139" s="1125"/>
      <c r="Q139" s="1124"/>
      <c r="R139" s="1124"/>
      <c r="S139" s="1124"/>
      <c r="T139" s="1124"/>
      <c r="U139" s="1124"/>
      <c r="V139" s="1124"/>
      <c r="W139" s="1124"/>
      <c r="X139" s="1124"/>
      <c r="Y139" s="1124"/>
      <c r="Z139" s="1124"/>
      <c r="AA139" s="1124"/>
      <c r="AB139" s="1124"/>
      <c r="AC139" s="1124"/>
      <c r="AD139" s="1124"/>
      <c r="AE139" s="1124"/>
      <c r="AF139" s="1124"/>
      <c r="AG139" s="1124"/>
      <c r="AH139" s="1124"/>
      <c r="AI139" s="1124"/>
      <c r="AJ139" s="1124"/>
      <c r="AK139" s="1124"/>
      <c r="AL139" s="1124"/>
      <c r="AM139" s="1124"/>
      <c r="AN139" s="1124"/>
      <c r="AO139" s="981"/>
      <c r="AR139" s="513"/>
      <c r="AS139" s="513"/>
      <c r="AT139" s="513"/>
      <c r="AU139" s="513"/>
    </row>
    <row r="140" spans="2:49" ht="15.75" x14ac:dyDescent="0.25">
      <c r="B140" s="981"/>
      <c r="C140" s="1124"/>
      <c r="D140" s="1124"/>
      <c r="E140" s="1124"/>
      <c r="F140" s="1124"/>
      <c r="G140" s="1125"/>
      <c r="H140" s="1125"/>
      <c r="I140" s="1125"/>
      <c r="J140" s="988" t="str">
        <f t="shared" si="50"/>
        <v>Plug-in fuel cell hybrid vehicle Electricity &amp; Syn-methanol</v>
      </c>
      <c r="K140" s="1083">
        <f t="shared" si="51"/>
        <v>0</v>
      </c>
      <c r="L140" s="1083">
        <f t="shared" si="51"/>
        <v>0</v>
      </c>
      <c r="M140" s="1083">
        <f t="shared" si="51"/>
        <v>0</v>
      </c>
      <c r="N140" s="1083">
        <f t="shared" si="51"/>
        <v>0</v>
      </c>
      <c r="O140" s="1084">
        <f t="shared" si="51"/>
        <v>0</v>
      </c>
      <c r="P140" s="1125"/>
      <c r="Q140" s="1124"/>
      <c r="R140" s="1124"/>
      <c r="S140" s="1124"/>
      <c r="T140" s="1124"/>
      <c r="U140" s="1124"/>
      <c r="V140" s="1124"/>
      <c r="W140" s="1124"/>
      <c r="X140" s="1124"/>
      <c r="Y140" s="1124"/>
      <c r="Z140" s="1124"/>
      <c r="AA140" s="1124"/>
      <c r="AB140" s="1124"/>
      <c r="AC140" s="1124"/>
      <c r="AD140" s="1124"/>
      <c r="AE140" s="1124"/>
      <c r="AF140" s="1124"/>
      <c r="AG140" s="1124"/>
      <c r="AH140" s="1124"/>
      <c r="AI140" s="1124"/>
      <c r="AJ140" s="1124"/>
      <c r="AK140" s="1124"/>
      <c r="AL140" s="1124"/>
      <c r="AM140" s="1124"/>
      <c r="AN140" s="1124"/>
      <c r="AO140" s="981"/>
      <c r="AR140" s="513"/>
      <c r="AS140" s="513"/>
      <c r="AT140" s="513"/>
      <c r="AU140" s="513"/>
    </row>
    <row r="141" spans="2:49" ht="15.75" x14ac:dyDescent="0.25">
      <c r="B141" s="981"/>
      <c r="C141" s="1124"/>
      <c r="D141" s="1124"/>
      <c r="E141" s="1124"/>
      <c r="F141" s="1124"/>
      <c r="G141" s="1125"/>
      <c r="H141" s="1125"/>
      <c r="I141" s="1125"/>
      <c r="J141" s="988" t="str">
        <f t="shared" si="50"/>
        <v>ICE Bio-methanol</v>
      </c>
      <c r="K141" s="1083">
        <f t="shared" ref="K141:K150" si="52">K119-E119</f>
        <v>-118.71227673866423</v>
      </c>
      <c r="L141" s="1083">
        <f t="shared" ref="L141:O141" si="53">L119-F119</f>
        <v>-1352.0561404144867</v>
      </c>
      <c r="M141" s="1083">
        <f t="shared" si="53"/>
        <v>-1416.4423203526253</v>
      </c>
      <c r="N141" s="1083">
        <f t="shared" si="53"/>
        <v>-1424.4950483621401</v>
      </c>
      <c r="O141" s="1084">
        <f t="shared" si="53"/>
        <v>-1432.5477763716553</v>
      </c>
      <c r="P141" s="1124"/>
      <c r="Q141" s="1124"/>
      <c r="R141" s="1124"/>
      <c r="S141" s="1124"/>
      <c r="T141" s="1124"/>
      <c r="U141" s="1124"/>
      <c r="V141" s="1124"/>
      <c r="W141" s="1124"/>
      <c r="X141" s="1124"/>
      <c r="Y141" s="1124"/>
      <c r="Z141" s="1124"/>
      <c r="AA141" s="1124"/>
      <c r="AB141" s="1124"/>
      <c r="AC141" s="1124"/>
      <c r="AD141" s="1124"/>
      <c r="AE141" s="1124"/>
      <c r="AF141" s="1124"/>
      <c r="AG141" s="1124"/>
      <c r="AH141" s="1124"/>
      <c r="AI141" s="1124"/>
      <c r="AJ141" s="1124"/>
      <c r="AK141" s="1124"/>
      <c r="AL141" s="1124"/>
      <c r="AM141" s="1124"/>
      <c r="AN141" s="1124"/>
      <c r="AO141" s="981"/>
      <c r="AT141" s="513"/>
      <c r="AU141" s="513"/>
      <c r="AV141" s="513"/>
      <c r="AW141" s="513"/>
    </row>
    <row r="142" spans="2:49" ht="15.75" x14ac:dyDescent="0.25">
      <c r="B142" s="981"/>
      <c r="C142" s="1124"/>
      <c r="D142" s="1124"/>
      <c r="E142" s="1124"/>
      <c r="F142" s="1124"/>
      <c r="G142" s="1125"/>
      <c r="H142" s="1125"/>
      <c r="I142" s="1125"/>
      <c r="J142" s="988" t="str">
        <f t="shared" si="50"/>
        <v>ICE Bioethanol</v>
      </c>
      <c r="K142" s="1083">
        <f t="shared" si="52"/>
        <v>-79.748363427306487</v>
      </c>
      <c r="L142" s="1083">
        <f t="shared" ref="L142:L150" si="54">L120-F120</f>
        <v>-723.18138917344004</v>
      </c>
      <c r="M142" s="1083">
        <f t="shared" ref="M142:M150" si="55">M120-G120</f>
        <v>-855.61365863161404</v>
      </c>
      <c r="N142" s="1083">
        <f t="shared" ref="N142:N150" si="56">N120-H120</f>
        <v>-860.33263454183555</v>
      </c>
      <c r="O142" s="1084">
        <f t="shared" ref="O142:O150" si="57">O120-I120</f>
        <v>-865.05161045205705</v>
      </c>
      <c r="P142" s="1128"/>
      <c r="Q142" s="1124"/>
      <c r="R142" s="1124"/>
      <c r="S142" s="1124"/>
      <c r="T142" s="1124"/>
      <c r="U142" s="1124"/>
      <c r="V142" s="1124"/>
      <c r="W142" s="1124"/>
      <c r="X142" s="1124"/>
      <c r="Y142" s="1124"/>
      <c r="Z142" s="1124"/>
      <c r="AA142" s="1124"/>
      <c r="AB142" s="1124"/>
      <c r="AC142" s="1124"/>
      <c r="AD142" s="1124"/>
      <c r="AE142" s="1124"/>
      <c r="AF142" s="1124"/>
      <c r="AG142" s="1124"/>
      <c r="AH142" s="1124"/>
      <c r="AI142" s="1124"/>
      <c r="AJ142" s="1124"/>
      <c r="AK142" s="1124"/>
      <c r="AL142" s="1124"/>
      <c r="AM142" s="1124"/>
      <c r="AN142" s="1124"/>
      <c r="AO142" s="981"/>
      <c r="AT142" s="513"/>
      <c r="AU142" s="513"/>
      <c r="AV142" s="513"/>
      <c r="AW142" s="513"/>
    </row>
    <row r="143" spans="2:49" ht="15.75" x14ac:dyDescent="0.25">
      <c r="B143" s="981"/>
      <c r="C143" s="1124"/>
      <c r="D143" s="1124"/>
      <c r="E143" s="1124"/>
      <c r="F143" s="1124"/>
      <c r="G143" s="1125"/>
      <c r="H143" s="1125"/>
      <c r="I143" s="1125"/>
      <c r="J143" s="988" t="str">
        <f t="shared" si="50"/>
        <v>ICE Biogas</v>
      </c>
      <c r="K143" s="1083">
        <f t="shared" si="52"/>
        <v>0</v>
      </c>
      <c r="L143" s="1083">
        <f t="shared" si="54"/>
        <v>0</v>
      </c>
      <c r="M143" s="1083">
        <f t="shared" si="55"/>
        <v>0</v>
      </c>
      <c r="N143" s="1083">
        <f t="shared" si="56"/>
        <v>0</v>
      </c>
      <c r="O143" s="1084">
        <f t="shared" si="57"/>
        <v>0</v>
      </c>
      <c r="P143" s="1128"/>
      <c r="Q143" s="1124"/>
      <c r="R143" s="1124"/>
      <c r="S143" s="1124"/>
      <c r="T143" s="1124"/>
      <c r="U143" s="1124"/>
      <c r="V143" s="1124"/>
      <c r="W143" s="1124"/>
      <c r="X143" s="1124"/>
      <c r="Y143" s="1124"/>
      <c r="Z143" s="1124"/>
      <c r="AA143" s="1124"/>
      <c r="AB143" s="1124"/>
      <c r="AC143" s="1124"/>
      <c r="AD143" s="1124"/>
      <c r="AE143" s="1124"/>
      <c r="AF143" s="1124"/>
      <c r="AG143" s="1124"/>
      <c r="AH143" s="1124"/>
      <c r="AI143" s="1124"/>
      <c r="AJ143" s="1124"/>
      <c r="AK143" s="1124"/>
      <c r="AL143" s="1124"/>
      <c r="AM143" s="1124"/>
      <c r="AN143" s="1124"/>
      <c r="AO143" s="981"/>
      <c r="AT143" s="513"/>
      <c r="AU143" s="513"/>
      <c r="AV143" s="513"/>
      <c r="AW143" s="513"/>
    </row>
    <row r="144" spans="2:49" ht="15.75" x14ac:dyDescent="0.25">
      <c r="B144" s="981"/>
      <c r="C144" s="1124"/>
      <c r="D144" s="1124"/>
      <c r="E144" s="1124"/>
      <c r="F144" s="1124"/>
      <c r="G144" s="1125"/>
      <c r="H144" s="1125"/>
      <c r="I144" s="1125"/>
      <c r="J144" s="988" t="str">
        <f t="shared" si="50"/>
        <v>ICE hybrid vehicle Bio-methanol</v>
      </c>
      <c r="K144" s="1083">
        <f t="shared" si="52"/>
        <v>0</v>
      </c>
      <c r="L144" s="1083">
        <f t="shared" si="54"/>
        <v>0</v>
      </c>
      <c r="M144" s="1083">
        <f t="shared" si="55"/>
        <v>0</v>
      </c>
      <c r="N144" s="1083">
        <f t="shared" si="56"/>
        <v>0</v>
      </c>
      <c r="O144" s="1084">
        <f t="shared" si="57"/>
        <v>0</v>
      </c>
      <c r="P144" s="1128"/>
      <c r="Q144" s="1124"/>
      <c r="R144" s="1124"/>
      <c r="S144" s="1124"/>
      <c r="T144" s="1124"/>
      <c r="U144" s="1124"/>
      <c r="V144" s="1124"/>
      <c r="W144" s="1124"/>
      <c r="X144" s="1124"/>
      <c r="Y144" s="1124"/>
      <c r="Z144" s="1124"/>
      <c r="AA144" s="1124"/>
      <c r="AB144" s="1124"/>
      <c r="AC144" s="1124"/>
      <c r="AD144" s="1124"/>
      <c r="AE144" s="1124"/>
      <c r="AF144" s="1124"/>
      <c r="AG144" s="1124"/>
      <c r="AH144" s="1124"/>
      <c r="AI144" s="1124"/>
      <c r="AJ144" s="1124"/>
      <c r="AK144" s="1124"/>
      <c r="AL144" s="1124"/>
      <c r="AM144" s="1124"/>
      <c r="AN144" s="1124"/>
      <c r="AO144" s="981"/>
      <c r="AT144" s="513"/>
      <c r="AU144" s="513"/>
      <c r="AV144" s="513"/>
      <c r="AW144" s="513"/>
    </row>
    <row r="145" spans="2:49" ht="15.75" x14ac:dyDescent="0.25">
      <c r="B145" s="981"/>
      <c r="C145" s="1124"/>
      <c r="D145" s="1125"/>
      <c r="E145" s="1125"/>
      <c r="F145" s="1125"/>
      <c r="G145" s="1125"/>
      <c r="H145" s="1125"/>
      <c r="I145" s="1125"/>
      <c r="J145" s="988" t="str">
        <f t="shared" si="50"/>
        <v>ICE hybrid vehicle Diesel</v>
      </c>
      <c r="K145" s="1083">
        <f t="shared" si="52"/>
        <v>0</v>
      </c>
      <c r="L145" s="1083">
        <f t="shared" si="54"/>
        <v>0</v>
      </c>
      <c r="M145" s="1083">
        <f t="shared" si="55"/>
        <v>0</v>
      </c>
      <c r="N145" s="1083">
        <f t="shared" si="56"/>
        <v>0</v>
      </c>
      <c r="O145" s="1084">
        <f t="shared" si="57"/>
        <v>0</v>
      </c>
      <c r="P145" s="1128"/>
      <c r="Q145" s="1124"/>
      <c r="R145" s="1124"/>
      <c r="S145" s="1124"/>
      <c r="T145" s="1124"/>
      <c r="U145" s="1124"/>
      <c r="V145" s="1124"/>
      <c r="W145" s="1124"/>
      <c r="X145" s="1124"/>
      <c r="Y145" s="1124"/>
      <c r="Z145" s="1124"/>
      <c r="AA145" s="1124"/>
      <c r="AB145" s="1124"/>
      <c r="AC145" s="1124"/>
      <c r="AD145" s="1124"/>
      <c r="AE145" s="1124"/>
      <c r="AF145" s="1124"/>
      <c r="AG145" s="1124"/>
      <c r="AH145" s="1124"/>
      <c r="AI145" s="1124"/>
      <c r="AJ145" s="1124"/>
      <c r="AK145" s="1124"/>
      <c r="AL145" s="1124"/>
      <c r="AM145" s="1124"/>
      <c r="AN145" s="1124"/>
      <c r="AO145" s="981"/>
      <c r="AT145" s="513"/>
      <c r="AU145" s="513"/>
      <c r="AV145" s="513"/>
      <c r="AW145" s="513"/>
    </row>
    <row r="146" spans="2:49" ht="15.75" x14ac:dyDescent="0.25">
      <c r="B146" s="981"/>
      <c r="C146" s="1124"/>
      <c r="D146" s="1125"/>
      <c r="E146" s="1125"/>
      <c r="F146" s="1125"/>
      <c r="G146" s="1125"/>
      <c r="H146" s="1125"/>
      <c r="I146" s="1125"/>
      <c r="J146" s="988" t="str">
        <f t="shared" si="50"/>
        <v>ICE Plug-in hybrid vehicle Bio-methanol</v>
      </c>
      <c r="K146" s="1083">
        <f t="shared" si="52"/>
        <v>0</v>
      </c>
      <c r="L146" s="1083">
        <f t="shared" si="54"/>
        <v>0</v>
      </c>
      <c r="M146" s="1083">
        <f t="shared" si="55"/>
        <v>0</v>
      </c>
      <c r="N146" s="1083">
        <f t="shared" si="56"/>
        <v>0</v>
      </c>
      <c r="O146" s="1084">
        <f t="shared" si="57"/>
        <v>0</v>
      </c>
      <c r="P146" s="1128"/>
      <c r="Q146" s="1124"/>
      <c r="R146" s="1124"/>
      <c r="S146" s="1124"/>
      <c r="T146" s="1124"/>
      <c r="U146" s="1124"/>
      <c r="V146" s="1124"/>
      <c r="W146" s="1124"/>
      <c r="X146" s="1124"/>
      <c r="Y146" s="1124"/>
      <c r="Z146" s="1124"/>
      <c r="AA146" s="1124"/>
      <c r="AB146" s="1124"/>
      <c r="AC146" s="1124"/>
      <c r="AD146" s="1124"/>
      <c r="AE146" s="1124"/>
      <c r="AF146" s="1124"/>
      <c r="AG146" s="1124"/>
      <c r="AH146" s="1124"/>
      <c r="AI146" s="1124"/>
      <c r="AJ146" s="1124"/>
      <c r="AK146" s="1124"/>
      <c r="AL146" s="1124"/>
      <c r="AM146" s="1124"/>
      <c r="AN146" s="1124"/>
      <c r="AO146" s="981"/>
      <c r="AT146" s="513"/>
      <c r="AU146" s="513"/>
      <c r="AV146" s="513"/>
      <c r="AW146" s="513"/>
    </row>
    <row r="147" spans="2:49" ht="15.75" x14ac:dyDescent="0.25">
      <c r="B147" s="981"/>
      <c r="C147" s="1124"/>
      <c r="D147" s="1125"/>
      <c r="E147" s="1125"/>
      <c r="F147" s="1125"/>
      <c r="G147" s="1125"/>
      <c r="H147" s="1125"/>
      <c r="I147" s="1125"/>
      <c r="J147" s="988" t="str">
        <f t="shared" si="50"/>
        <v>ICE Plug-in hybrid vehicle Diesel</v>
      </c>
      <c r="K147" s="1083">
        <f t="shared" si="52"/>
        <v>0</v>
      </c>
      <c r="L147" s="1083">
        <f t="shared" si="54"/>
        <v>0</v>
      </c>
      <c r="M147" s="1083">
        <f t="shared" si="55"/>
        <v>0</v>
      </c>
      <c r="N147" s="1083">
        <f t="shared" si="56"/>
        <v>0</v>
      </c>
      <c r="O147" s="1084">
        <f t="shared" si="57"/>
        <v>0</v>
      </c>
      <c r="P147" s="1128"/>
      <c r="Q147" s="1124"/>
      <c r="R147" s="1124"/>
      <c r="S147" s="1124"/>
      <c r="T147" s="1124"/>
      <c r="U147" s="1124"/>
      <c r="V147" s="1124"/>
      <c r="W147" s="1124"/>
      <c r="X147" s="1124"/>
      <c r="Y147" s="1124"/>
      <c r="Z147" s="1124"/>
      <c r="AA147" s="1124"/>
      <c r="AB147" s="1124"/>
      <c r="AC147" s="1124"/>
      <c r="AD147" s="1124"/>
      <c r="AE147" s="1124"/>
      <c r="AF147" s="1124"/>
      <c r="AG147" s="1124"/>
      <c r="AH147" s="1124"/>
      <c r="AI147" s="1124"/>
      <c r="AJ147" s="1124"/>
      <c r="AK147" s="1124"/>
      <c r="AL147" s="1124"/>
      <c r="AM147" s="1124"/>
      <c r="AN147" s="1124"/>
      <c r="AO147" s="981"/>
      <c r="AT147" s="513"/>
      <c r="AU147" s="513"/>
      <c r="AV147" s="513"/>
      <c r="AW147" s="513"/>
    </row>
    <row r="148" spans="2:49" ht="15.75" x14ac:dyDescent="0.25">
      <c r="B148" s="981"/>
      <c r="C148" s="1124"/>
      <c r="D148" s="1125"/>
      <c r="E148" s="1125"/>
      <c r="F148" s="1125"/>
      <c r="G148" s="1125"/>
      <c r="H148" s="1125"/>
      <c r="I148" s="1125"/>
      <c r="J148" s="988" t="s">
        <v>483</v>
      </c>
      <c r="K148" s="1083">
        <f t="shared" si="52"/>
        <v>0</v>
      </c>
      <c r="L148" s="1083">
        <f t="shared" si="54"/>
        <v>0</v>
      </c>
      <c r="M148" s="1083">
        <f t="shared" si="55"/>
        <v>0</v>
      </c>
      <c r="N148" s="1083">
        <f t="shared" si="56"/>
        <v>0</v>
      </c>
      <c r="O148" s="1084">
        <f t="shared" si="57"/>
        <v>0</v>
      </c>
      <c r="P148" s="1128"/>
      <c r="Q148" s="1124"/>
      <c r="R148" s="1124"/>
      <c r="S148" s="1124"/>
      <c r="T148" s="1124"/>
      <c r="U148" s="1124"/>
      <c r="V148" s="1124"/>
      <c r="W148" s="1124"/>
      <c r="X148" s="1124"/>
      <c r="Y148" s="1124"/>
      <c r="Z148" s="1124"/>
      <c r="AA148" s="1124"/>
      <c r="AB148" s="1124"/>
      <c r="AC148" s="1124"/>
      <c r="AD148" s="1124"/>
      <c r="AE148" s="1124"/>
      <c r="AF148" s="1124"/>
      <c r="AG148" s="1124"/>
      <c r="AH148" s="1124"/>
      <c r="AI148" s="1124"/>
      <c r="AJ148" s="1124"/>
      <c r="AK148" s="1124"/>
      <c r="AL148" s="1124"/>
      <c r="AM148" s="1124"/>
      <c r="AN148" s="1124"/>
      <c r="AO148" s="981"/>
      <c r="AT148" s="513"/>
      <c r="AU148" s="513"/>
      <c r="AV148" s="513"/>
      <c r="AW148" s="513"/>
    </row>
    <row r="149" spans="2:49" ht="15.75" x14ac:dyDescent="0.25">
      <c r="B149" s="981"/>
      <c r="C149" s="1124"/>
      <c r="D149" s="1125"/>
      <c r="E149" s="1125"/>
      <c r="F149" s="1125"/>
      <c r="G149" s="1125"/>
      <c r="H149" s="1125"/>
      <c r="I149" s="1125"/>
      <c r="J149" s="988" t="str">
        <f>J61</f>
        <v>ICE Diesel</v>
      </c>
      <c r="K149" s="1083">
        <f t="shared" si="52"/>
        <v>-12927.020143081058</v>
      </c>
      <c r="L149" s="1083">
        <f t="shared" si="54"/>
        <v>-22213.328754290065</v>
      </c>
      <c r="M149" s="1083">
        <f t="shared" si="55"/>
        <v>-27204.954707004435</v>
      </c>
      <c r="N149" s="1083">
        <f t="shared" si="56"/>
        <v>-32413.336054017098</v>
      </c>
      <c r="O149" s="1084">
        <f t="shared" si="57"/>
        <v>-37621.717401029746</v>
      </c>
      <c r="P149" s="1128"/>
      <c r="Q149" s="1124"/>
      <c r="R149" s="1124"/>
      <c r="S149" s="1124"/>
      <c r="T149" s="1124"/>
      <c r="U149" s="1124"/>
      <c r="V149" s="1124"/>
      <c r="W149" s="1124"/>
      <c r="X149" s="1124"/>
      <c r="Y149" s="1124"/>
      <c r="Z149" s="1124"/>
      <c r="AA149" s="1124"/>
      <c r="AB149" s="1124"/>
      <c r="AC149" s="1124"/>
      <c r="AD149" s="1124"/>
      <c r="AE149" s="1124"/>
      <c r="AF149" s="1124"/>
      <c r="AG149" s="1124"/>
      <c r="AH149" s="1124"/>
      <c r="AI149" s="1124"/>
      <c r="AJ149" s="1124"/>
      <c r="AK149" s="1124"/>
      <c r="AL149" s="1124"/>
      <c r="AM149" s="1124"/>
      <c r="AN149" s="1124"/>
      <c r="AO149" s="981"/>
      <c r="AT149" s="513"/>
      <c r="AU149" s="513"/>
      <c r="AV149" s="513"/>
      <c r="AW149" s="513"/>
    </row>
    <row r="150" spans="2:49" ht="15.75" x14ac:dyDescent="0.25">
      <c r="B150" s="981"/>
      <c r="C150" s="1124"/>
      <c r="D150" s="1125"/>
      <c r="E150" s="1125"/>
      <c r="F150" s="1125"/>
      <c r="G150" s="1125"/>
      <c r="H150" s="1125"/>
      <c r="I150" s="1125"/>
      <c r="J150" s="988" t="str">
        <f>J62</f>
        <v>ICE Petrol</v>
      </c>
      <c r="K150" s="1083">
        <f t="shared" si="52"/>
        <v>-26488.641786489145</v>
      </c>
      <c r="L150" s="1083">
        <f t="shared" si="54"/>
        <v>-20682.004018595631</v>
      </c>
      <c r="M150" s="1083">
        <f t="shared" si="55"/>
        <v>-21205.443523565467</v>
      </c>
      <c r="N150" s="1083">
        <f t="shared" si="56"/>
        <v>-17126.976260885775</v>
      </c>
      <c r="O150" s="1084">
        <f t="shared" si="57"/>
        <v>-13048.508998206091</v>
      </c>
      <c r="P150" s="1128"/>
      <c r="Q150" s="1124"/>
      <c r="R150" s="1124"/>
      <c r="S150" s="1124"/>
      <c r="T150" s="1124"/>
      <c r="U150" s="1124"/>
      <c r="V150" s="1124"/>
      <c r="W150" s="1124"/>
      <c r="X150" s="1124"/>
      <c r="Y150" s="1124"/>
      <c r="Z150" s="1124"/>
      <c r="AA150" s="1124"/>
      <c r="AB150" s="1124"/>
      <c r="AC150" s="1124"/>
      <c r="AD150" s="1124"/>
      <c r="AE150" s="1124"/>
      <c r="AF150" s="1124"/>
      <c r="AG150" s="1124"/>
      <c r="AH150" s="1124"/>
      <c r="AI150" s="1124"/>
      <c r="AJ150" s="1124"/>
      <c r="AK150" s="1124"/>
      <c r="AL150" s="1124"/>
      <c r="AM150" s="1124"/>
      <c r="AN150" s="1124"/>
      <c r="AO150" s="981"/>
      <c r="AT150" s="513"/>
      <c r="AU150" s="513"/>
      <c r="AV150" s="513"/>
      <c r="AW150" s="513"/>
    </row>
    <row r="151" spans="2:49" ht="15.75" x14ac:dyDescent="0.25">
      <c r="B151" s="981"/>
      <c r="C151" s="1124"/>
      <c r="D151" s="1125"/>
      <c r="E151" s="1125"/>
      <c r="F151" s="1125"/>
      <c r="G151" s="1125"/>
      <c r="H151" s="1125"/>
      <c r="I151" s="1125"/>
      <c r="J151" s="988" t="str">
        <f>J63</f>
        <v>ICE Syn-methanol</v>
      </c>
      <c r="K151" s="1083">
        <f>K129-E119</f>
        <v>-118.71227673866423</v>
      </c>
      <c r="L151" s="1083">
        <f>L129-F119</f>
        <v>-1352.0561404144867</v>
      </c>
      <c r="M151" s="1083">
        <f>M129-G119</f>
        <v>-1416.4423203526253</v>
      </c>
      <c r="N151" s="1083">
        <f>N129-H119</f>
        <v>-1424.4950483621401</v>
      </c>
      <c r="O151" s="1084">
        <f>O129-I119</f>
        <v>-1432.5477763716553</v>
      </c>
      <c r="P151" s="1128"/>
      <c r="Q151" s="1128"/>
      <c r="R151" s="1125"/>
      <c r="S151" s="1124"/>
      <c r="T151" s="1124"/>
      <c r="U151" s="1124"/>
      <c r="V151" s="1124"/>
      <c r="W151" s="1124"/>
      <c r="X151" s="1124"/>
      <c r="Y151" s="1124"/>
      <c r="Z151" s="1124"/>
      <c r="AA151" s="1124"/>
      <c r="AB151" s="1124"/>
      <c r="AC151" s="1124"/>
      <c r="AD151" s="1124"/>
      <c r="AE151" s="1124"/>
      <c r="AF151" s="1124"/>
      <c r="AG151" s="1124"/>
      <c r="AH151" s="1124"/>
      <c r="AI151" s="1124"/>
      <c r="AJ151" s="1124"/>
      <c r="AK151" s="1124"/>
      <c r="AL151" s="1124"/>
      <c r="AM151" s="1124"/>
      <c r="AN151" s="1124"/>
      <c r="AO151" s="981"/>
      <c r="AT151" s="513"/>
      <c r="AU151" s="513"/>
      <c r="AV151" s="513"/>
      <c r="AW151" s="513"/>
    </row>
    <row r="152" spans="2:49" ht="15.75" x14ac:dyDescent="0.25">
      <c r="B152" s="981"/>
      <c r="C152" s="1124"/>
      <c r="D152" s="1125"/>
      <c r="E152" s="1125"/>
      <c r="F152" s="1125"/>
      <c r="G152" s="1125"/>
      <c r="H152" s="1125"/>
      <c r="I152" s="1125"/>
      <c r="J152" s="988" t="str">
        <f>J64</f>
        <v>ICE hybrid vehicle Syn-methanol</v>
      </c>
      <c r="K152" s="1083">
        <f t="shared" ref="K152:O154" si="58">K130-E130</f>
        <v>0</v>
      </c>
      <c r="L152" s="1083">
        <f t="shared" si="58"/>
        <v>0</v>
      </c>
      <c r="M152" s="1083">
        <f t="shared" si="58"/>
        <v>0</v>
      </c>
      <c r="N152" s="1083">
        <f t="shared" si="58"/>
        <v>0</v>
      </c>
      <c r="O152" s="1084">
        <f t="shared" si="58"/>
        <v>0</v>
      </c>
      <c r="P152" s="1128"/>
      <c r="Q152" s="1128"/>
      <c r="R152" s="1125"/>
      <c r="S152" s="1124"/>
      <c r="T152" s="1124"/>
      <c r="U152" s="1124"/>
      <c r="V152" s="1124"/>
      <c r="W152" s="1124"/>
      <c r="X152" s="1124"/>
      <c r="Y152" s="1124"/>
      <c r="Z152" s="1124"/>
      <c r="AA152" s="1124"/>
      <c r="AB152" s="1124"/>
      <c r="AC152" s="1124"/>
      <c r="AD152" s="1124"/>
      <c r="AE152" s="1124"/>
      <c r="AF152" s="1124"/>
      <c r="AG152" s="1124"/>
      <c r="AH152" s="1124"/>
      <c r="AI152" s="1124"/>
      <c r="AJ152" s="1124"/>
      <c r="AK152" s="1124"/>
      <c r="AL152" s="1124"/>
      <c r="AM152" s="1124"/>
      <c r="AN152" s="1124"/>
      <c r="AO152" s="981"/>
      <c r="AT152" s="513"/>
      <c r="AU152" s="513"/>
      <c r="AV152" s="513"/>
      <c r="AW152" s="513"/>
    </row>
    <row r="153" spans="2:49" ht="15.75" x14ac:dyDescent="0.25">
      <c r="B153" s="981"/>
      <c r="C153" s="1124"/>
      <c r="D153" s="1125"/>
      <c r="E153" s="1125"/>
      <c r="F153" s="1125"/>
      <c r="G153" s="1124"/>
      <c r="H153" s="1124"/>
      <c r="I153" s="1124"/>
      <c r="J153" s="988" t="str">
        <f>J65</f>
        <v>ICE Plug-in hybrid vehicle Syn-methanol</v>
      </c>
      <c r="K153" s="1083">
        <f t="shared" si="58"/>
        <v>0</v>
      </c>
      <c r="L153" s="1083">
        <f t="shared" si="58"/>
        <v>0</v>
      </c>
      <c r="M153" s="1083">
        <f t="shared" si="58"/>
        <v>0</v>
      </c>
      <c r="N153" s="1083">
        <f t="shared" si="58"/>
        <v>0</v>
      </c>
      <c r="O153" s="1084">
        <f t="shared" si="58"/>
        <v>0</v>
      </c>
      <c r="P153" s="1128"/>
      <c r="Q153" s="1128"/>
      <c r="R153" s="1125"/>
      <c r="S153" s="1124"/>
      <c r="T153" s="1124"/>
      <c r="U153" s="1124"/>
      <c r="V153" s="1124"/>
      <c r="W153" s="1124"/>
      <c r="X153" s="1124"/>
      <c r="Y153" s="1124"/>
      <c r="Z153" s="1124"/>
      <c r="AA153" s="1124"/>
      <c r="AB153" s="1124"/>
      <c r="AC153" s="1124"/>
      <c r="AD153" s="1124"/>
      <c r="AE153" s="1124"/>
      <c r="AF153" s="1124"/>
      <c r="AG153" s="1124"/>
      <c r="AH153" s="1124"/>
      <c r="AI153" s="1124"/>
      <c r="AJ153" s="1124"/>
      <c r="AK153" s="1124"/>
      <c r="AL153" s="1124"/>
      <c r="AM153" s="1124"/>
      <c r="AN153" s="1124"/>
      <c r="AO153" s="981"/>
      <c r="AT153" s="513"/>
      <c r="AU153" s="513"/>
      <c r="AV153" s="513"/>
      <c r="AW153" s="513"/>
    </row>
    <row r="154" spans="2:49" ht="16.5" thickBot="1" x14ac:dyDescent="0.3">
      <c r="B154" s="981"/>
      <c r="C154" s="1124"/>
      <c r="D154" s="1125"/>
      <c r="E154" s="1125"/>
      <c r="F154" s="1125"/>
      <c r="G154" s="1124"/>
      <c r="H154" s="1124"/>
      <c r="I154" s="1124"/>
      <c r="J154" s="994" t="s">
        <v>57</v>
      </c>
      <c r="K154" s="1091">
        <f t="shared" si="58"/>
        <v>39614.122569736166</v>
      </c>
      <c r="L154" s="1091">
        <f t="shared" si="58"/>
        <v>44970.570302473621</v>
      </c>
      <c r="M154" s="1091">
        <f t="shared" si="58"/>
        <v>50682.45420955414</v>
      </c>
      <c r="N154" s="1091">
        <f t="shared" si="58"/>
        <v>51825.139997806851</v>
      </c>
      <c r="O154" s="1092">
        <f t="shared" si="58"/>
        <v>52967.825786059533</v>
      </c>
      <c r="P154" s="1128"/>
      <c r="Q154" s="1128"/>
      <c r="R154" s="1125"/>
      <c r="S154" s="1124"/>
      <c r="T154" s="1124"/>
      <c r="U154" s="1124"/>
      <c r="V154" s="1124"/>
      <c r="W154" s="1124"/>
      <c r="X154" s="1124"/>
      <c r="Y154" s="1124"/>
      <c r="Z154" s="1124"/>
      <c r="AA154" s="1124"/>
      <c r="AB154" s="1124"/>
      <c r="AC154" s="1124"/>
      <c r="AD154" s="1124"/>
      <c r="AE154" s="1124"/>
      <c r="AF154" s="1124"/>
      <c r="AG154" s="1124"/>
      <c r="AH154" s="1124"/>
      <c r="AI154" s="1124"/>
      <c r="AJ154" s="1124"/>
      <c r="AK154" s="1124"/>
      <c r="AL154" s="1124"/>
      <c r="AM154" s="1124"/>
      <c r="AN154" s="1124"/>
      <c r="AO154" s="981"/>
      <c r="AT154" s="513"/>
      <c r="AU154" s="513"/>
      <c r="AV154" s="513"/>
      <c r="AW154" s="513"/>
    </row>
    <row r="155" spans="2:49" ht="17.25" thickTop="1" thickBot="1" x14ac:dyDescent="0.3">
      <c r="B155" s="981"/>
      <c r="C155" s="1124"/>
      <c r="D155" s="1125"/>
      <c r="E155" s="1125"/>
      <c r="F155" s="1125"/>
      <c r="G155" s="1124"/>
      <c r="H155" s="1124"/>
      <c r="I155" s="1124"/>
      <c r="J155" s="996" t="s">
        <v>60</v>
      </c>
      <c r="K155" s="1087">
        <f>SUM(K138:K154)</f>
        <v>-118.71227673866815</v>
      </c>
      <c r="L155" s="1087">
        <f>SUM(L138:L154)</f>
        <v>-1352.0561404144901</v>
      </c>
      <c r="M155" s="1087">
        <f>SUM(M138:M154)</f>
        <v>-1416.4423203526239</v>
      </c>
      <c r="N155" s="1087">
        <f>SUM(N138:N154)</f>
        <v>-1424.4950483621433</v>
      </c>
      <c r="O155" s="1088">
        <f>SUM(O138:O154)</f>
        <v>-1432.5477763716699</v>
      </c>
      <c r="P155" s="1128"/>
      <c r="Q155" s="1128"/>
      <c r="R155" s="1125"/>
      <c r="S155" s="1124"/>
      <c r="T155" s="1124"/>
      <c r="U155" s="1124"/>
      <c r="V155" s="1124"/>
      <c r="W155" s="1124"/>
      <c r="X155" s="1124"/>
      <c r="Y155" s="1124"/>
      <c r="Z155" s="1124"/>
      <c r="AA155" s="1124"/>
      <c r="AB155" s="1124"/>
      <c r="AC155" s="1124"/>
      <c r="AD155" s="1124"/>
      <c r="AE155" s="1124"/>
      <c r="AF155" s="1124"/>
      <c r="AG155" s="1124"/>
      <c r="AH155" s="1124"/>
      <c r="AI155" s="1124"/>
      <c r="AJ155" s="1124"/>
      <c r="AK155" s="1124"/>
      <c r="AL155" s="1124"/>
      <c r="AM155" s="1124"/>
      <c r="AN155" s="1124"/>
      <c r="AO155" s="981"/>
      <c r="AT155" s="513"/>
      <c r="AU155" s="513"/>
      <c r="AV155" s="513"/>
      <c r="AW155" s="513"/>
    </row>
    <row r="156" spans="2:49" x14ac:dyDescent="0.25">
      <c r="B156" s="981"/>
      <c r="C156" s="1124"/>
      <c r="D156" s="1125"/>
      <c r="E156" s="1125"/>
      <c r="F156" s="1125"/>
      <c r="G156" s="1124"/>
      <c r="H156" s="1124"/>
      <c r="I156" s="1124"/>
      <c r="J156" s="1124"/>
      <c r="K156" s="1124"/>
      <c r="L156" s="1124"/>
      <c r="M156" s="1124"/>
      <c r="N156" s="1124"/>
      <c r="O156" s="1124"/>
      <c r="P156" s="1128"/>
      <c r="Q156" s="1128"/>
      <c r="R156" s="1125"/>
      <c r="S156" s="1124"/>
      <c r="T156" s="1124"/>
      <c r="U156" s="1124"/>
      <c r="V156" s="1124"/>
      <c r="W156" s="1124"/>
      <c r="X156" s="1124"/>
      <c r="Y156" s="1124"/>
      <c r="Z156" s="1124"/>
      <c r="AA156" s="1124"/>
      <c r="AB156" s="1124"/>
      <c r="AC156" s="1124"/>
      <c r="AD156" s="1124"/>
      <c r="AE156" s="1124"/>
      <c r="AF156" s="1124"/>
      <c r="AG156" s="1124"/>
      <c r="AH156" s="1124"/>
      <c r="AI156" s="1124"/>
      <c r="AJ156" s="1124"/>
      <c r="AK156" s="1124"/>
      <c r="AL156" s="1124"/>
      <c r="AM156" s="1124"/>
      <c r="AN156" s="1124"/>
      <c r="AO156" s="981"/>
      <c r="AT156" s="513"/>
      <c r="AU156" s="513"/>
      <c r="AV156" s="513"/>
      <c r="AW156" s="513"/>
    </row>
    <row r="157" spans="2:49" ht="15.75" thickBot="1" x14ac:dyDescent="0.3">
      <c r="B157" s="981"/>
      <c r="C157" s="1124"/>
      <c r="D157" s="1125"/>
      <c r="E157" s="1125"/>
      <c r="F157" s="1125"/>
      <c r="G157" s="1124"/>
      <c r="H157" s="1124"/>
      <c r="I157" s="1124"/>
      <c r="J157" s="1124"/>
      <c r="K157" s="1124"/>
      <c r="L157" s="1124"/>
      <c r="M157" s="1124"/>
      <c r="N157" s="1124"/>
      <c r="O157" s="1124"/>
      <c r="P157" s="1128"/>
      <c r="Q157" s="1128"/>
      <c r="R157" s="1125"/>
      <c r="S157" s="1124"/>
      <c r="T157" s="1124"/>
      <c r="U157" s="1124"/>
      <c r="V157" s="1124"/>
      <c r="W157" s="1124"/>
      <c r="X157" s="1124"/>
      <c r="Y157" s="1124"/>
      <c r="Z157" s="1124"/>
      <c r="AA157" s="1124"/>
      <c r="AB157" s="1124"/>
      <c r="AC157" s="1124"/>
      <c r="AD157" s="1124"/>
      <c r="AE157" s="1124"/>
      <c r="AF157" s="1124"/>
      <c r="AG157" s="1124"/>
      <c r="AH157" s="1124"/>
      <c r="AI157" s="1124"/>
      <c r="AJ157" s="1124"/>
      <c r="AK157" s="1124"/>
      <c r="AL157" s="1124"/>
      <c r="AM157" s="1124"/>
      <c r="AN157" s="1124"/>
      <c r="AO157" s="981"/>
      <c r="AT157" s="513"/>
      <c r="AU157" s="513"/>
      <c r="AV157" s="513"/>
      <c r="AW157" s="513"/>
    </row>
    <row r="158" spans="2:49" x14ac:dyDescent="0.25">
      <c r="B158" s="981"/>
      <c r="C158" s="1124"/>
      <c r="D158" s="1126"/>
      <c r="E158" s="1126"/>
      <c r="F158" s="1126"/>
      <c r="G158" s="1126"/>
      <c r="H158" s="1126"/>
      <c r="I158" s="1126"/>
      <c r="J158" s="2017" t="s">
        <v>193</v>
      </c>
      <c r="K158" s="2018"/>
      <c r="L158" s="2018"/>
      <c r="M158" s="2018"/>
      <c r="N158" s="2018"/>
      <c r="O158" s="2019"/>
      <c r="P158" s="1128"/>
      <c r="Q158" s="1128"/>
      <c r="R158" s="1125"/>
      <c r="S158" s="1124"/>
      <c r="T158" s="1124"/>
      <c r="U158" s="1124"/>
      <c r="V158" s="1124"/>
      <c r="W158" s="1124"/>
      <c r="X158" s="1124"/>
      <c r="Y158" s="1124"/>
      <c r="Z158" s="1124"/>
      <c r="AA158" s="1124"/>
      <c r="AB158" s="1124"/>
      <c r="AC158" s="1124"/>
      <c r="AD158" s="1124"/>
      <c r="AE158" s="1124"/>
      <c r="AF158" s="1124"/>
      <c r="AG158" s="1124"/>
      <c r="AH158" s="1124"/>
      <c r="AI158" s="1124"/>
      <c r="AJ158" s="1124"/>
      <c r="AK158" s="1124"/>
      <c r="AL158" s="1124"/>
      <c r="AM158" s="1124"/>
      <c r="AN158" s="1124"/>
      <c r="AO158" s="981"/>
      <c r="AT158" s="513"/>
      <c r="AU158" s="513"/>
      <c r="AV158" s="513"/>
      <c r="AW158" s="513"/>
    </row>
    <row r="159" spans="2:49" x14ac:dyDescent="0.25">
      <c r="B159" s="981"/>
      <c r="C159" s="1124"/>
      <c r="D159" s="1126"/>
      <c r="E159" s="1126"/>
      <c r="F159" s="1126"/>
      <c r="G159" s="1126"/>
      <c r="H159" s="1126"/>
      <c r="I159" s="1126"/>
      <c r="J159" s="970" t="s">
        <v>194</v>
      </c>
      <c r="K159" s="634"/>
      <c r="L159" s="634"/>
      <c r="M159" s="634"/>
      <c r="N159" s="634"/>
      <c r="O159" s="987"/>
      <c r="P159" s="1128"/>
      <c r="Q159" s="1128"/>
      <c r="R159" s="1125"/>
      <c r="S159" s="1124"/>
      <c r="T159" s="1124"/>
      <c r="U159" s="1124"/>
      <c r="V159" s="1124"/>
      <c r="W159" s="1124"/>
      <c r="X159" s="1124"/>
      <c r="Y159" s="1124"/>
      <c r="Z159" s="1124"/>
      <c r="AA159" s="1124"/>
      <c r="AB159" s="1124"/>
      <c r="AC159" s="1124"/>
      <c r="AD159" s="1124"/>
      <c r="AE159" s="1124"/>
      <c r="AF159" s="1124"/>
      <c r="AG159" s="1124"/>
      <c r="AH159" s="1124"/>
      <c r="AI159" s="1124"/>
      <c r="AJ159" s="1124"/>
      <c r="AK159" s="1124"/>
      <c r="AL159" s="1124"/>
      <c r="AM159" s="1124"/>
      <c r="AN159" s="1124"/>
      <c r="AO159" s="981"/>
      <c r="AT159" s="513"/>
      <c r="AU159" s="513"/>
      <c r="AV159" s="513"/>
      <c r="AW159" s="513"/>
    </row>
    <row r="160" spans="2:49" x14ac:dyDescent="0.25">
      <c r="B160" s="981"/>
      <c r="C160" s="1124"/>
      <c r="D160" s="1126"/>
      <c r="E160" s="1126"/>
      <c r="F160" s="1126"/>
      <c r="G160" s="1126"/>
      <c r="H160" s="1126"/>
      <c r="I160" s="1126"/>
      <c r="J160" s="970" t="s">
        <v>196</v>
      </c>
      <c r="K160" s="634">
        <v>5554</v>
      </c>
      <c r="L160" s="1123" t="s">
        <v>195</v>
      </c>
      <c r="M160" s="634"/>
      <c r="N160" s="634"/>
      <c r="O160" s="987"/>
      <c r="P160" s="1124"/>
      <c r="Q160" s="1124"/>
      <c r="R160" s="1125"/>
      <c r="S160" s="1124"/>
      <c r="T160" s="1124"/>
      <c r="U160" s="1124"/>
      <c r="V160" s="1124"/>
      <c r="W160" s="1124"/>
      <c r="X160" s="1124"/>
      <c r="Y160" s="1124"/>
      <c r="Z160" s="1124"/>
      <c r="AA160" s="1124"/>
      <c r="AB160" s="1124"/>
      <c r="AC160" s="1124"/>
      <c r="AD160" s="1124"/>
      <c r="AE160" s="1124"/>
      <c r="AF160" s="1124"/>
      <c r="AG160" s="1124"/>
      <c r="AH160" s="1124"/>
      <c r="AI160" s="1124"/>
      <c r="AJ160" s="1124"/>
      <c r="AK160" s="1124"/>
      <c r="AL160" s="1124"/>
      <c r="AM160" s="1124"/>
      <c r="AN160" s="1124"/>
      <c r="AO160" s="981"/>
      <c r="AT160" s="513"/>
      <c r="AU160" s="513"/>
      <c r="AV160" s="513"/>
      <c r="AW160" s="513"/>
    </row>
    <row r="161" spans="2:61" x14ac:dyDescent="0.25">
      <c r="B161" s="981"/>
      <c r="C161" s="1124"/>
      <c r="D161" s="1126"/>
      <c r="E161" s="1126"/>
      <c r="F161" s="1126"/>
      <c r="G161" s="1126"/>
      <c r="H161" s="1126"/>
      <c r="I161" s="1126"/>
      <c r="J161" s="970" t="s">
        <v>198</v>
      </c>
      <c r="K161" s="634">
        <v>2</v>
      </c>
      <c r="L161" s="634"/>
      <c r="M161" s="634"/>
      <c r="N161" s="634"/>
      <c r="O161" s="987"/>
      <c r="P161" s="1124"/>
      <c r="Q161" s="1124"/>
      <c r="R161" s="1124"/>
      <c r="S161" s="1124"/>
      <c r="T161" s="1124"/>
      <c r="U161" s="1124"/>
      <c r="V161" s="1124"/>
      <c r="W161" s="1124"/>
      <c r="X161" s="1124"/>
      <c r="Y161" s="1124"/>
      <c r="Z161" s="1124"/>
      <c r="AA161" s="1124"/>
      <c r="AB161" s="1124"/>
      <c r="AC161" s="1124"/>
      <c r="AD161" s="1124"/>
      <c r="AE161" s="1124"/>
      <c r="AF161" s="1124"/>
      <c r="AG161" s="1124"/>
      <c r="AH161" s="1124"/>
      <c r="AI161" s="1124"/>
      <c r="AJ161" s="1124"/>
      <c r="AK161" s="1124"/>
      <c r="AL161" s="1124"/>
      <c r="AM161" s="1124"/>
      <c r="AN161" s="1124"/>
      <c r="AO161" s="981"/>
      <c r="AQ161" s="513"/>
      <c r="AR161" s="513"/>
      <c r="AS161" s="513"/>
      <c r="AT161" s="513"/>
      <c r="BF161" s="513"/>
      <c r="BG161" s="513"/>
      <c r="BH161" s="513"/>
      <c r="BI161" s="513"/>
    </row>
    <row r="162" spans="2:61" x14ac:dyDescent="0.25">
      <c r="B162" s="981"/>
      <c r="C162" s="1124"/>
      <c r="D162" s="1126"/>
      <c r="E162" s="1126"/>
      <c r="F162" s="1126"/>
      <c r="G162" s="1126"/>
      <c r="H162" s="1126"/>
      <c r="I162" s="1126"/>
      <c r="J162" s="970" t="s">
        <v>199</v>
      </c>
      <c r="K162" s="634">
        <v>1</v>
      </c>
      <c r="L162" s="634"/>
      <c r="M162" s="634"/>
      <c r="N162" s="634"/>
      <c r="O162" s="987"/>
      <c r="P162" s="1124"/>
      <c r="Q162" s="1124"/>
      <c r="R162" s="1124"/>
      <c r="S162" s="1124"/>
      <c r="T162" s="1124"/>
      <c r="U162" s="1124"/>
      <c r="V162" s="1124"/>
      <c r="W162" s="1124"/>
      <c r="X162" s="1124"/>
      <c r="Y162" s="1124"/>
      <c r="Z162" s="1124"/>
      <c r="AA162" s="1124"/>
      <c r="AB162" s="1124"/>
      <c r="AC162" s="1124"/>
      <c r="AD162" s="1124"/>
      <c r="AE162" s="1124"/>
      <c r="AF162" s="1124"/>
      <c r="AG162" s="1124"/>
      <c r="AH162" s="1124"/>
      <c r="AI162" s="1124"/>
      <c r="AJ162" s="1124"/>
      <c r="AK162" s="1124"/>
      <c r="AL162" s="1124"/>
      <c r="AM162" s="1124"/>
      <c r="AN162" s="1124"/>
      <c r="AO162" s="981"/>
      <c r="AQ162" s="513"/>
      <c r="AR162" s="513"/>
      <c r="AS162" s="513"/>
      <c r="AT162" s="513"/>
      <c r="BF162" s="513"/>
      <c r="BG162" s="513"/>
      <c r="BH162" s="513"/>
      <c r="BI162" s="513"/>
    </row>
    <row r="163" spans="2:61" x14ac:dyDescent="0.25">
      <c r="B163" s="981"/>
      <c r="C163" s="1124"/>
      <c r="D163" s="1126"/>
      <c r="E163" s="1126"/>
      <c r="F163" s="1126"/>
      <c r="G163" s="1126"/>
      <c r="H163" s="1126"/>
      <c r="I163" s="1126"/>
      <c r="J163" s="970" t="s">
        <v>188</v>
      </c>
      <c r="K163" s="634">
        <v>10</v>
      </c>
      <c r="L163" s="634" t="s">
        <v>197</v>
      </c>
      <c r="M163" s="634"/>
      <c r="N163" s="634"/>
      <c r="O163" s="987"/>
      <c r="P163" s="1124"/>
      <c r="Q163" s="1124"/>
      <c r="R163" s="1124"/>
      <c r="S163" s="1124"/>
      <c r="T163" s="1124"/>
      <c r="U163" s="1124"/>
      <c r="V163" s="1124"/>
      <c r="W163" s="1124"/>
      <c r="X163" s="1124"/>
      <c r="Y163" s="1124"/>
      <c r="Z163" s="1124"/>
      <c r="AA163" s="1124"/>
      <c r="AB163" s="1124"/>
      <c r="AC163" s="1124"/>
      <c r="AD163" s="1124"/>
      <c r="AE163" s="1124"/>
      <c r="AF163" s="1124"/>
      <c r="AG163" s="1124"/>
      <c r="AH163" s="1124"/>
      <c r="AI163" s="1124"/>
      <c r="AJ163" s="1124"/>
      <c r="AK163" s="1124"/>
      <c r="AL163" s="1124"/>
      <c r="AM163" s="1124"/>
      <c r="AN163" s="1124"/>
      <c r="AO163" s="981"/>
      <c r="AQ163" s="513"/>
      <c r="AR163" s="513"/>
      <c r="AS163" s="513"/>
      <c r="AT163" s="513"/>
      <c r="BF163" s="513"/>
      <c r="BG163" s="513"/>
      <c r="BH163" s="513"/>
      <c r="BI163" s="513"/>
    </row>
    <row r="164" spans="2:61" ht="15.75" thickBot="1" x14ac:dyDescent="0.3">
      <c r="B164" s="981"/>
      <c r="C164" s="1124"/>
      <c r="D164" s="1126"/>
      <c r="E164" s="1126"/>
      <c r="F164" s="1126"/>
      <c r="G164" s="1126"/>
      <c r="H164" s="1126"/>
      <c r="I164" s="1126"/>
      <c r="J164" s="971"/>
      <c r="K164" s="983"/>
      <c r="L164" s="983"/>
      <c r="M164" s="983"/>
      <c r="N164" s="983"/>
      <c r="O164" s="984"/>
      <c r="P164" s="1124"/>
      <c r="Q164" s="1124"/>
      <c r="R164" s="1124"/>
      <c r="S164" s="1124"/>
      <c r="T164" s="1124"/>
      <c r="U164" s="1124"/>
      <c r="V164" s="1124"/>
      <c r="W164" s="1124"/>
      <c r="X164" s="1124"/>
      <c r="Y164" s="1124"/>
      <c r="Z164" s="1124"/>
      <c r="AA164" s="1124"/>
      <c r="AB164" s="1124"/>
      <c r="AC164" s="1124"/>
      <c r="AD164" s="1124"/>
      <c r="AE164" s="1124"/>
      <c r="AF164" s="1124"/>
      <c r="AG164" s="1124"/>
      <c r="AH164" s="1124"/>
      <c r="AI164" s="1124"/>
      <c r="AJ164" s="1124"/>
      <c r="AK164" s="1124"/>
      <c r="AL164" s="1124"/>
      <c r="AM164" s="1124"/>
      <c r="AN164" s="1124"/>
      <c r="AO164" s="981"/>
      <c r="AQ164" s="513"/>
      <c r="AR164" s="513"/>
      <c r="AS164" s="513"/>
      <c r="AT164" s="513"/>
      <c r="BF164" s="513"/>
      <c r="BG164" s="513"/>
      <c r="BH164" s="513"/>
      <c r="BI164" s="513"/>
    </row>
    <row r="165" spans="2:61" x14ac:dyDescent="0.25">
      <c r="B165" s="981"/>
      <c r="C165" s="1124"/>
      <c r="D165" s="1126"/>
      <c r="E165" s="1126"/>
      <c r="F165" s="1126"/>
      <c r="G165" s="1126"/>
      <c r="H165" s="1126"/>
      <c r="I165" s="1126"/>
      <c r="J165" s="966"/>
      <c r="K165" s="968">
        <v>2010</v>
      </c>
      <c r="L165" s="968">
        <v>2020</v>
      </c>
      <c r="M165" s="968">
        <v>2030</v>
      </c>
      <c r="N165" s="968">
        <v>2040</v>
      </c>
      <c r="O165" s="969">
        <v>2050</v>
      </c>
      <c r="P165" s="1124"/>
      <c r="Q165" s="1124"/>
      <c r="R165" s="1124"/>
      <c r="S165" s="1124"/>
      <c r="T165" s="1124"/>
      <c r="U165" s="1124"/>
      <c r="V165" s="1124"/>
      <c r="W165" s="1124"/>
      <c r="X165" s="1124"/>
      <c r="Y165" s="1124"/>
      <c r="Z165" s="1124"/>
      <c r="AA165" s="1124"/>
      <c r="AB165" s="1124"/>
      <c r="AC165" s="1124"/>
      <c r="AD165" s="1124"/>
      <c r="AE165" s="1124"/>
      <c r="AF165" s="1124"/>
      <c r="AG165" s="1124"/>
      <c r="AH165" s="1124"/>
      <c r="AI165" s="1124"/>
      <c r="AJ165" s="1124"/>
      <c r="AK165" s="1124"/>
      <c r="AL165" s="1124"/>
      <c r="AM165" s="1124"/>
      <c r="AN165" s="1124"/>
      <c r="AO165" s="981"/>
      <c r="AQ165" s="513"/>
      <c r="AR165" s="513"/>
      <c r="AS165" s="513"/>
      <c r="AT165" s="513"/>
      <c r="BF165" s="513"/>
      <c r="BG165" s="513"/>
      <c r="BH165" s="513"/>
      <c r="BI165" s="513"/>
    </row>
    <row r="166" spans="2:61" x14ac:dyDescent="0.25">
      <c r="B166" s="981"/>
      <c r="C166" s="1124"/>
      <c r="D166" s="1126"/>
      <c r="E166" s="1126"/>
      <c r="F166" s="1126"/>
      <c r="G166" s="1126"/>
      <c r="H166" s="1126"/>
      <c r="I166" s="1126"/>
      <c r="J166" s="1028" t="s">
        <v>200</v>
      </c>
      <c r="K166" s="634"/>
      <c r="L166" s="634"/>
      <c r="M166" s="634"/>
      <c r="N166" s="634"/>
      <c r="O166" s="987"/>
      <c r="P166" s="1124"/>
      <c r="Q166" s="1124"/>
      <c r="R166" s="1124"/>
      <c r="S166" s="1124"/>
      <c r="T166" s="1124"/>
      <c r="U166" s="1124"/>
      <c r="V166" s="1124"/>
      <c r="W166" s="1124"/>
      <c r="X166" s="1124"/>
      <c r="Y166" s="1124"/>
      <c r="Z166" s="1124"/>
      <c r="AA166" s="1124"/>
      <c r="AB166" s="1124"/>
      <c r="AC166" s="1124"/>
      <c r="AD166" s="1124"/>
      <c r="AE166" s="1124"/>
      <c r="AF166" s="1124"/>
      <c r="AG166" s="1124"/>
      <c r="AH166" s="1124"/>
      <c r="AI166" s="1124"/>
      <c r="AJ166" s="1124"/>
      <c r="AK166" s="1124"/>
      <c r="AL166" s="1124"/>
      <c r="AM166" s="1124"/>
      <c r="AN166" s="1124"/>
      <c r="AO166" s="981"/>
      <c r="AQ166" s="513"/>
      <c r="AR166" s="513"/>
      <c r="AS166" s="513"/>
      <c r="AT166" s="513"/>
      <c r="BF166" s="513"/>
      <c r="BG166" s="513"/>
      <c r="BH166" s="513"/>
      <c r="BI166" s="513"/>
    </row>
    <row r="167" spans="2:61" x14ac:dyDescent="0.25">
      <c r="B167" s="981"/>
      <c r="C167" s="1124"/>
      <c r="D167" s="1126"/>
      <c r="E167" s="1126"/>
      <c r="F167" s="1126"/>
      <c r="G167" s="1126"/>
      <c r="H167" s="1126"/>
      <c r="I167" s="1126"/>
      <c r="J167" s="970" t="s">
        <v>201</v>
      </c>
      <c r="K167" s="1081">
        <f>K50*$K$161</f>
        <v>0</v>
      </c>
      <c r="L167" s="1081">
        <f>L50*$K$161</f>
        <v>0</v>
      </c>
      <c r="M167" s="1081">
        <f>M50*$K$161</f>
        <v>0</v>
      </c>
      <c r="N167" s="1081">
        <f>N50*$K$161</f>
        <v>0</v>
      </c>
      <c r="O167" s="1082">
        <f>O50*$K$161</f>
        <v>0</v>
      </c>
      <c r="P167" s="1124"/>
      <c r="Q167" s="1124"/>
      <c r="R167" s="1124"/>
      <c r="S167" s="1124"/>
      <c r="T167" s="1124"/>
      <c r="U167" s="1124"/>
      <c r="V167" s="1124"/>
      <c r="W167" s="1124"/>
      <c r="X167" s="1124"/>
      <c r="Y167" s="1124"/>
      <c r="Z167" s="1124"/>
      <c r="AA167" s="1124"/>
      <c r="AB167" s="1124"/>
      <c r="AC167" s="1124"/>
      <c r="AD167" s="1124"/>
      <c r="AE167" s="1124"/>
      <c r="AF167" s="1124"/>
      <c r="AG167" s="1124"/>
      <c r="AH167" s="1124"/>
      <c r="AI167" s="1124"/>
      <c r="AJ167" s="1124"/>
      <c r="AK167" s="1124"/>
      <c r="AL167" s="1124"/>
      <c r="AM167" s="1124"/>
      <c r="AN167" s="1124"/>
      <c r="AO167" s="981"/>
      <c r="AQ167" s="513"/>
      <c r="AR167" s="513"/>
      <c r="AS167" s="513"/>
      <c r="AT167" s="513"/>
      <c r="BF167" s="513"/>
      <c r="BG167" s="513"/>
      <c r="BH167" s="513"/>
      <c r="BI167" s="513"/>
    </row>
    <row r="168" spans="2:61" x14ac:dyDescent="0.25">
      <c r="B168" s="981"/>
      <c r="C168" s="1124"/>
      <c r="D168" s="1126"/>
      <c r="E168" s="1126"/>
      <c r="F168" s="1126"/>
      <c r="G168" s="1126"/>
      <c r="H168" s="1126"/>
      <c r="I168" s="1126"/>
      <c r="J168" s="970" t="s">
        <v>202</v>
      </c>
      <c r="K168" s="1081">
        <f>(+K58+K59+K52+K65)*($K$162)</f>
        <v>0</v>
      </c>
      <c r="L168" s="1081">
        <f>(+L58+L59+L52+L65)*($K$162)</f>
        <v>0</v>
      </c>
      <c r="M168" s="1081">
        <f>(+M58+M59+M52+M65)*($K$162)</f>
        <v>0</v>
      </c>
      <c r="N168" s="1081">
        <f>(+N58+N59+N52+N65)*($K$162)</f>
        <v>0</v>
      </c>
      <c r="O168" s="1082">
        <f>(+O58+O59+O52+O65)*($K$162)</f>
        <v>0</v>
      </c>
      <c r="P168" s="1124"/>
      <c r="Q168" s="1124"/>
      <c r="R168" s="1124"/>
      <c r="S168" s="1124"/>
      <c r="T168" s="1124"/>
      <c r="U168" s="1124"/>
      <c r="V168" s="1124"/>
      <c r="W168" s="1124"/>
      <c r="X168" s="1124"/>
      <c r="Y168" s="1124"/>
      <c r="Z168" s="1124"/>
      <c r="AA168" s="1124"/>
      <c r="AB168" s="1124"/>
      <c r="AC168" s="1124"/>
      <c r="AD168" s="1124"/>
      <c r="AE168" s="1124"/>
      <c r="AF168" s="1124"/>
      <c r="AG168" s="1124"/>
      <c r="AH168" s="1124"/>
      <c r="AI168" s="1124"/>
      <c r="AJ168" s="1124"/>
      <c r="AK168" s="1124"/>
      <c r="AL168" s="1124"/>
      <c r="AM168" s="1124"/>
      <c r="AN168" s="1124"/>
      <c r="AO168" s="981"/>
      <c r="AQ168" s="513"/>
      <c r="AR168" s="513"/>
      <c r="AS168" s="513"/>
      <c r="AT168" s="513"/>
      <c r="BF168" s="513"/>
      <c r="BG168" s="513"/>
      <c r="BH168" s="513"/>
      <c r="BI168" s="513"/>
    </row>
    <row r="169" spans="2:61" x14ac:dyDescent="0.25">
      <c r="B169" s="981"/>
      <c r="C169" s="1124"/>
      <c r="D169" s="1126"/>
      <c r="E169" s="1126"/>
      <c r="F169" s="1126"/>
      <c r="G169" s="1126"/>
      <c r="H169" s="1126"/>
      <c r="I169" s="1126"/>
      <c r="J169" s="1058" t="s">
        <v>395</v>
      </c>
      <c r="K169" s="634"/>
      <c r="L169" s="634"/>
      <c r="M169" s="634"/>
      <c r="N169" s="634"/>
      <c r="O169" s="987"/>
      <c r="P169" s="1124"/>
      <c r="Q169" s="1124"/>
      <c r="R169" s="1124"/>
      <c r="S169" s="1124"/>
      <c r="T169" s="1124"/>
      <c r="U169" s="1124"/>
      <c r="V169" s="1124"/>
      <c r="W169" s="1124"/>
      <c r="X169" s="1124"/>
      <c r="Y169" s="1124"/>
      <c r="Z169" s="1124"/>
      <c r="AA169" s="1124"/>
      <c r="AB169" s="1124"/>
      <c r="AC169" s="1124"/>
      <c r="AD169" s="1124"/>
      <c r="AE169" s="1124"/>
      <c r="AF169" s="1124"/>
      <c r="AG169" s="1124"/>
      <c r="AH169" s="1124"/>
      <c r="AI169" s="1124"/>
      <c r="AJ169" s="1124"/>
      <c r="AK169" s="1124"/>
      <c r="AL169" s="1124"/>
      <c r="AM169" s="1124"/>
      <c r="AN169" s="1124"/>
      <c r="AO169" s="981"/>
      <c r="AQ169" s="513"/>
      <c r="AR169" s="513"/>
      <c r="AS169" s="513"/>
      <c r="AT169" s="513"/>
      <c r="BF169" s="513"/>
      <c r="BG169" s="513"/>
      <c r="BH169" s="513"/>
      <c r="BI169" s="513"/>
    </row>
    <row r="170" spans="2:61" x14ac:dyDescent="0.25">
      <c r="B170" s="981"/>
      <c r="C170" s="1124"/>
      <c r="D170" s="1126"/>
      <c r="E170" s="1126"/>
      <c r="F170" s="1126"/>
      <c r="G170" s="1126"/>
      <c r="H170" s="1126"/>
      <c r="I170" s="1126"/>
      <c r="J170" s="970" t="s">
        <v>201</v>
      </c>
      <c r="K170" s="1081">
        <f t="shared" ref="K170:O171" si="59">K167*$K$160/1000000</f>
        <v>0</v>
      </c>
      <c r="L170" s="1081">
        <f t="shared" si="59"/>
        <v>0</v>
      </c>
      <c r="M170" s="1081">
        <f t="shared" si="59"/>
        <v>0</v>
      </c>
      <c r="N170" s="1081">
        <f t="shared" si="59"/>
        <v>0</v>
      </c>
      <c r="O170" s="1082">
        <f t="shared" si="59"/>
        <v>0</v>
      </c>
      <c r="P170" s="1124"/>
      <c r="Q170" s="1124"/>
      <c r="R170" s="1124"/>
      <c r="S170" s="1124"/>
      <c r="T170" s="1124"/>
      <c r="U170" s="1124"/>
      <c r="V170" s="1124"/>
      <c r="W170" s="1124"/>
      <c r="X170" s="1124"/>
      <c r="Y170" s="1124"/>
      <c r="Z170" s="1124"/>
      <c r="AA170" s="1124"/>
      <c r="AB170" s="1124"/>
      <c r="AC170" s="1124"/>
      <c r="AD170" s="1124"/>
      <c r="AE170" s="1124"/>
      <c r="AF170" s="1124"/>
      <c r="AG170" s="1124"/>
      <c r="AH170" s="1124"/>
      <c r="AI170" s="1124"/>
      <c r="AJ170" s="1124"/>
      <c r="AK170" s="1124"/>
      <c r="AL170" s="1124"/>
      <c r="AM170" s="1124"/>
      <c r="AN170" s="1124"/>
      <c r="AO170" s="981"/>
      <c r="AQ170" s="513"/>
      <c r="AR170" s="513"/>
      <c r="AS170" s="513"/>
      <c r="AT170" s="513"/>
      <c r="BF170" s="513"/>
      <c r="BG170" s="513"/>
      <c r="BH170" s="513"/>
      <c r="BI170" s="513"/>
    </row>
    <row r="171" spans="2:61" x14ac:dyDescent="0.25">
      <c r="B171" s="981"/>
      <c r="C171" s="1124"/>
      <c r="D171" s="1126"/>
      <c r="E171" s="1126"/>
      <c r="F171" s="1126"/>
      <c r="G171" s="1126"/>
      <c r="H171" s="1126"/>
      <c r="I171" s="1126"/>
      <c r="J171" s="970" t="s">
        <v>202</v>
      </c>
      <c r="K171" s="1081">
        <f t="shared" si="59"/>
        <v>0</v>
      </c>
      <c r="L171" s="1081">
        <f t="shared" si="59"/>
        <v>0</v>
      </c>
      <c r="M171" s="1081">
        <f t="shared" si="59"/>
        <v>0</v>
      </c>
      <c r="N171" s="1081">
        <f t="shared" si="59"/>
        <v>0</v>
      </c>
      <c r="O171" s="1082">
        <f t="shared" si="59"/>
        <v>0</v>
      </c>
      <c r="P171" s="1124"/>
      <c r="Q171" s="1124"/>
      <c r="R171" s="1124"/>
      <c r="S171" s="1124"/>
      <c r="T171" s="1124"/>
      <c r="U171" s="1124"/>
      <c r="V171" s="1124"/>
      <c r="W171" s="1124"/>
      <c r="X171" s="1124"/>
      <c r="Y171" s="1124"/>
      <c r="Z171" s="1124"/>
      <c r="AA171" s="1124"/>
      <c r="AB171" s="1124"/>
      <c r="AC171" s="1124"/>
      <c r="AD171" s="1124"/>
      <c r="AE171" s="1124"/>
      <c r="AF171" s="1124"/>
      <c r="AG171" s="1124"/>
      <c r="AH171" s="1124"/>
      <c r="AI171" s="1124"/>
      <c r="AJ171" s="1124"/>
      <c r="AK171" s="1124"/>
      <c r="AL171" s="1124"/>
      <c r="AM171" s="1124"/>
      <c r="AN171" s="1124"/>
      <c r="AO171" s="981"/>
      <c r="AQ171" s="513"/>
      <c r="AR171" s="513"/>
      <c r="AS171" s="513"/>
      <c r="AT171" s="513"/>
      <c r="BF171" s="513"/>
      <c r="BG171" s="513"/>
      <c r="BH171" s="513"/>
      <c r="BI171" s="513"/>
    </row>
    <row r="172" spans="2:61" x14ac:dyDescent="0.25">
      <c r="B172" s="981"/>
      <c r="C172" s="1124"/>
      <c r="D172" s="1126"/>
      <c r="E172" s="1126"/>
      <c r="F172" s="1126"/>
      <c r="G172" s="1126"/>
      <c r="H172" s="1126"/>
      <c r="I172" s="1126"/>
      <c r="J172" s="1058" t="s">
        <v>396</v>
      </c>
      <c r="K172" s="634"/>
      <c r="L172" s="634"/>
      <c r="M172" s="634"/>
      <c r="N172" s="634"/>
      <c r="O172" s="987"/>
      <c r="P172" s="1124"/>
      <c r="Q172" s="1124"/>
      <c r="R172" s="1124"/>
      <c r="S172" s="1124"/>
      <c r="T172" s="1124"/>
      <c r="U172" s="1124"/>
      <c r="V172" s="1124"/>
      <c r="W172" s="1124"/>
      <c r="X172" s="1124"/>
      <c r="Y172" s="1124"/>
      <c r="Z172" s="1124"/>
      <c r="AA172" s="1124"/>
      <c r="AB172" s="1124"/>
      <c r="AC172" s="1124"/>
      <c r="AD172" s="1124"/>
      <c r="AE172" s="1124"/>
      <c r="AF172" s="1124"/>
      <c r="AG172" s="1124"/>
      <c r="AH172" s="1124"/>
      <c r="AI172" s="1124"/>
      <c r="AJ172" s="1124"/>
      <c r="AK172" s="1124"/>
      <c r="AL172" s="1124"/>
      <c r="AM172" s="1124"/>
      <c r="AN172" s="1124"/>
      <c r="AO172" s="981"/>
      <c r="BF172" s="513"/>
      <c r="BG172" s="513"/>
      <c r="BH172" s="513"/>
      <c r="BI172" s="513"/>
    </row>
    <row r="173" spans="2:61" x14ac:dyDescent="0.25">
      <c r="B173" s="981"/>
      <c r="C173" s="1124"/>
      <c r="D173" s="1126"/>
      <c r="E173" s="1126"/>
      <c r="F173" s="1126"/>
      <c r="G173" s="1126"/>
      <c r="H173" s="1126"/>
      <c r="I173" s="1126"/>
      <c r="J173" s="970" t="s">
        <v>201</v>
      </c>
      <c r="K173" s="1081">
        <f t="shared" ref="K173:O174" si="60">-PMT($E$7,$K$163,K170)</f>
        <v>0</v>
      </c>
      <c r="L173" s="1081">
        <f t="shared" si="60"/>
        <v>0</v>
      </c>
      <c r="M173" s="1081">
        <f t="shared" si="60"/>
        <v>0</v>
      </c>
      <c r="N173" s="1081">
        <f t="shared" si="60"/>
        <v>0</v>
      </c>
      <c r="O173" s="1082">
        <f t="shared" si="60"/>
        <v>0</v>
      </c>
      <c r="P173" s="1124"/>
      <c r="Q173" s="1124"/>
      <c r="R173" s="1124"/>
      <c r="S173" s="1124"/>
      <c r="T173" s="1124"/>
      <c r="U173" s="1124"/>
      <c r="V173" s="1124"/>
      <c r="W173" s="1124"/>
      <c r="X173" s="1124"/>
      <c r="Y173" s="1124"/>
      <c r="Z173" s="1124"/>
      <c r="AA173" s="1124"/>
      <c r="AB173" s="1124"/>
      <c r="AC173" s="1124"/>
      <c r="AD173" s="1124"/>
      <c r="AE173" s="1124"/>
      <c r="AF173" s="1124"/>
      <c r="AG173" s="1124"/>
      <c r="AH173" s="1124"/>
      <c r="AI173" s="1124"/>
      <c r="AJ173" s="1124"/>
      <c r="AK173" s="1124"/>
      <c r="AL173" s="1124"/>
      <c r="AM173" s="1124"/>
      <c r="AN173" s="1124"/>
      <c r="AO173" s="981"/>
      <c r="BF173" s="513"/>
      <c r="BG173" s="513"/>
      <c r="BH173" s="513"/>
      <c r="BI173" s="513"/>
    </row>
    <row r="174" spans="2:61" ht="15.75" thickBot="1" x14ac:dyDescent="0.3">
      <c r="B174" s="981"/>
      <c r="C174" s="1124"/>
      <c r="D174" s="1126"/>
      <c r="E174" s="1126"/>
      <c r="F174" s="1126"/>
      <c r="G174" s="1126"/>
      <c r="H174" s="1126"/>
      <c r="I174" s="1126"/>
      <c r="J174" s="971" t="s">
        <v>202</v>
      </c>
      <c r="K174" s="1105">
        <f t="shared" si="60"/>
        <v>0</v>
      </c>
      <c r="L174" s="1105">
        <f t="shared" si="60"/>
        <v>0</v>
      </c>
      <c r="M174" s="1105">
        <f t="shared" si="60"/>
        <v>0</v>
      </c>
      <c r="N174" s="1105">
        <f t="shared" si="60"/>
        <v>0</v>
      </c>
      <c r="O174" s="1106">
        <f t="shared" si="60"/>
        <v>0</v>
      </c>
      <c r="P174" s="1124"/>
      <c r="Q174" s="1124"/>
      <c r="R174" s="1124"/>
      <c r="S174" s="1124"/>
      <c r="T174" s="1124"/>
      <c r="U174" s="1124"/>
      <c r="V174" s="1124"/>
      <c r="W174" s="1124"/>
      <c r="X174" s="1124"/>
      <c r="Y174" s="1124"/>
      <c r="Z174" s="1124"/>
      <c r="AA174" s="1124"/>
      <c r="AB174" s="1124"/>
      <c r="AC174" s="1124"/>
      <c r="AD174" s="1124"/>
      <c r="AE174" s="1124"/>
      <c r="AF174" s="1124"/>
      <c r="AG174" s="1124"/>
      <c r="AH174" s="1124"/>
      <c r="AI174" s="1124"/>
      <c r="AJ174" s="1124"/>
      <c r="AK174" s="1124"/>
      <c r="AL174" s="1124"/>
      <c r="AM174" s="1124"/>
      <c r="AN174" s="1124"/>
      <c r="AO174" s="981"/>
      <c r="BF174" s="513"/>
      <c r="BG174" s="513"/>
      <c r="BH174" s="513"/>
      <c r="BI174" s="513"/>
    </row>
    <row r="175" spans="2:61" ht="15.75" thickBot="1" x14ac:dyDescent="0.3">
      <c r="B175" s="981"/>
      <c r="C175" s="1127"/>
      <c r="D175" s="1124"/>
      <c r="E175" s="1124"/>
      <c r="F175" s="1124"/>
      <c r="G175" s="1124"/>
      <c r="H175" s="1124"/>
      <c r="I175" s="1124"/>
      <c r="J175" s="634"/>
      <c r="K175" s="634"/>
      <c r="L175" s="634"/>
      <c r="M175" s="634"/>
      <c r="N175" s="634"/>
      <c r="O175" s="634"/>
      <c r="P175" s="1124"/>
      <c r="Q175" s="1124"/>
      <c r="R175" s="1124"/>
      <c r="S175" s="1124"/>
      <c r="T175" s="1124"/>
      <c r="U175" s="1124"/>
      <c r="V175" s="1124"/>
      <c r="W175" s="1124"/>
      <c r="X175" s="1124"/>
      <c r="Y175" s="1124"/>
      <c r="Z175" s="1124"/>
      <c r="AA175" s="1124"/>
      <c r="AB175" s="1124"/>
      <c r="AC175" s="1124"/>
      <c r="AD175" s="1124"/>
      <c r="AE175" s="1124"/>
      <c r="AF175" s="1124"/>
      <c r="AG175" s="1124"/>
      <c r="AH175" s="1124"/>
      <c r="AI175" s="1124"/>
      <c r="AJ175" s="1124"/>
      <c r="AK175" s="1124"/>
      <c r="AL175" s="1124"/>
      <c r="AM175" s="1124"/>
      <c r="AN175" s="1124"/>
      <c r="AO175" s="981"/>
      <c r="AQ175" s="513"/>
      <c r="AR175" s="513"/>
      <c r="AS175" s="513"/>
      <c r="AT175" s="513"/>
      <c r="BF175" s="513"/>
      <c r="BG175" s="513"/>
      <c r="BH175" s="513"/>
      <c r="BI175" s="513"/>
    </row>
    <row r="176" spans="2:61" ht="21.75" thickBot="1" x14ac:dyDescent="0.3">
      <c r="B176" s="1029"/>
      <c r="C176" s="1030"/>
      <c r="D176" s="2011" t="s">
        <v>447</v>
      </c>
      <c r="E176" s="2011"/>
      <c r="F176" s="2011"/>
      <c r="G176" s="2011"/>
      <c r="H176" s="2011"/>
      <c r="I176" s="2011"/>
      <c r="J176" s="2011"/>
      <c r="K176" s="2011"/>
      <c r="L176" s="2011"/>
      <c r="M176" s="2011"/>
      <c r="N176" s="2011"/>
      <c r="O176" s="2011"/>
      <c r="P176" s="2011"/>
      <c r="Q176" s="2011"/>
      <c r="R176" s="2011"/>
      <c r="S176" s="2011"/>
      <c r="T176" s="2011"/>
      <c r="U176" s="2011"/>
      <c r="V176" s="2011"/>
      <c r="W176" s="2011"/>
      <c r="X176" s="2011"/>
      <c r="Y176" s="2011"/>
      <c r="Z176" s="2011"/>
      <c r="AA176" s="2011"/>
      <c r="AB176" s="2011"/>
      <c r="AC176" s="2011"/>
      <c r="AD176" s="2011"/>
      <c r="AE176" s="2011"/>
      <c r="AF176" s="2011"/>
      <c r="AG176" s="2011"/>
      <c r="AH176" s="2011"/>
      <c r="AI176" s="2011"/>
      <c r="AJ176" s="2011"/>
      <c r="AK176" s="2011"/>
      <c r="AL176" s="2011"/>
      <c r="AM176" s="2011"/>
      <c r="AN176" s="979"/>
      <c r="AO176" s="1031"/>
      <c r="AQ176" s="513"/>
      <c r="AR176" s="513"/>
      <c r="AS176" s="513"/>
      <c r="AT176" s="513"/>
      <c r="BF176" s="513"/>
      <c r="BG176" s="513"/>
      <c r="BH176" s="513"/>
      <c r="BI176" s="513"/>
    </row>
    <row r="177" spans="2:65" x14ac:dyDescent="0.25">
      <c r="AQ177" s="513"/>
      <c r="AR177" s="513"/>
      <c r="AS177" s="513"/>
      <c r="AT177" s="513"/>
      <c r="BF177" s="513"/>
      <c r="BG177" s="513"/>
      <c r="BH177" s="513"/>
      <c r="BI177" s="513"/>
    </row>
    <row r="178" spans="2:65" ht="15.75" thickBot="1" x14ac:dyDescent="0.3">
      <c r="AQ178" s="513"/>
      <c r="AR178" s="513"/>
      <c r="AS178" s="513"/>
      <c r="AT178" s="513"/>
      <c r="BF178" s="513"/>
      <c r="BG178" s="513"/>
      <c r="BH178" s="513"/>
      <c r="BI178" s="513"/>
    </row>
    <row r="179" spans="2:65" ht="21.75" thickBot="1" x14ac:dyDescent="0.3">
      <c r="B179" s="1032"/>
      <c r="C179" s="2012" t="s">
        <v>154</v>
      </c>
      <c r="D179" s="2012"/>
      <c r="E179" s="2012"/>
      <c r="F179" s="2012"/>
      <c r="G179" s="2012"/>
      <c r="H179" s="2012"/>
      <c r="I179" s="2012"/>
      <c r="J179" s="2012"/>
      <c r="K179" s="2012"/>
      <c r="L179" s="2012"/>
      <c r="M179" s="2012"/>
      <c r="N179" s="2012"/>
      <c r="O179" s="2012"/>
      <c r="P179" s="2012"/>
      <c r="Q179" s="2012"/>
      <c r="R179" s="2012"/>
      <c r="S179" s="2012"/>
      <c r="T179" s="2012"/>
      <c r="U179" s="2012"/>
      <c r="V179" s="2012"/>
      <c r="W179" s="2012"/>
      <c r="X179" s="2012"/>
      <c r="Y179" s="2012"/>
      <c r="Z179" s="2012"/>
      <c r="AA179" s="2012"/>
      <c r="AB179" s="2012"/>
      <c r="AC179" s="2012"/>
      <c r="AD179" s="2012"/>
      <c r="AE179" s="2012"/>
      <c r="AF179" s="2012"/>
      <c r="AG179" s="2012"/>
      <c r="AH179" s="2012"/>
      <c r="AI179" s="2012"/>
      <c r="AJ179" s="2012"/>
      <c r="AK179" s="2012"/>
      <c r="AL179" s="2012"/>
      <c r="AM179" s="2012"/>
      <c r="AN179" s="2012"/>
      <c r="AO179" s="1033"/>
    </row>
    <row r="180" spans="2:65" ht="15.75" thickBot="1" x14ac:dyDescent="0.3">
      <c r="B180" s="1034"/>
      <c r="C180" s="1135"/>
      <c r="D180" s="1135"/>
      <c r="E180" s="1135"/>
      <c r="F180" s="1136"/>
      <c r="G180" s="1135"/>
      <c r="H180" s="1135"/>
      <c r="I180" s="1135"/>
      <c r="J180" s="1135"/>
      <c r="K180" s="1135"/>
      <c r="L180" s="1135"/>
      <c r="M180" s="1135"/>
      <c r="N180" s="1135"/>
      <c r="O180" s="1135"/>
      <c r="P180" s="1138"/>
      <c r="Q180" s="1138"/>
      <c r="R180" s="1138"/>
      <c r="S180" s="1138"/>
      <c r="T180" s="1138"/>
      <c r="U180" s="1138"/>
      <c r="V180" s="1138"/>
      <c r="W180" s="1138"/>
      <c r="X180" s="1138"/>
      <c r="Y180" s="1138"/>
      <c r="Z180" s="1138"/>
      <c r="AA180" s="1138"/>
      <c r="AB180" s="1138"/>
      <c r="AC180" s="1138"/>
      <c r="AD180" s="1138"/>
      <c r="AE180" s="1138"/>
      <c r="AF180" s="1138"/>
      <c r="AG180" s="1138"/>
      <c r="AH180" s="1138"/>
      <c r="AI180" s="1138"/>
      <c r="AJ180" s="1138"/>
      <c r="AK180" s="1138"/>
      <c r="AL180" s="1138"/>
      <c r="AM180" s="1138"/>
      <c r="AN180" s="1138"/>
      <c r="AO180" s="1035"/>
      <c r="AP180" s="513"/>
      <c r="AQ180" s="513"/>
      <c r="AR180" s="513"/>
      <c r="AS180" s="513"/>
      <c r="AT180" s="513"/>
      <c r="AU180" s="513"/>
      <c r="AV180" s="513"/>
      <c r="AW180" s="513"/>
      <c r="AX180" s="513"/>
      <c r="AY180" s="513"/>
      <c r="AZ180" s="513"/>
      <c r="BA180" s="513"/>
      <c r="BB180" s="513"/>
      <c r="BC180" s="513"/>
      <c r="BD180" s="513"/>
      <c r="BE180" s="513"/>
      <c r="BF180" s="513"/>
      <c r="BG180" s="513"/>
      <c r="BH180" s="513"/>
      <c r="BI180" s="513"/>
      <c r="BJ180" s="513"/>
      <c r="BK180" s="513"/>
      <c r="BL180" s="513"/>
      <c r="BM180" s="513"/>
    </row>
    <row r="181" spans="2:65" ht="15.75" thickBot="1" x14ac:dyDescent="0.3">
      <c r="B181" s="1034"/>
      <c r="C181" s="1135"/>
      <c r="D181" s="2014" t="s">
        <v>45</v>
      </c>
      <c r="E181" s="2015"/>
      <c r="F181" s="2015"/>
      <c r="G181" s="2015"/>
      <c r="H181" s="2015"/>
      <c r="I181" s="2016"/>
      <c r="J181" s="2008" t="s">
        <v>226</v>
      </c>
      <c r="K181" s="2009"/>
      <c r="L181" s="2009"/>
      <c r="M181" s="2009"/>
      <c r="N181" s="2009"/>
      <c r="O181" s="2010"/>
      <c r="P181" s="1135"/>
      <c r="Q181" s="1135"/>
      <c r="R181" s="1135"/>
      <c r="S181" s="1135"/>
      <c r="T181" s="1135"/>
      <c r="U181" s="1135"/>
      <c r="V181" s="1135"/>
      <c r="W181" s="1135"/>
      <c r="X181" s="1135"/>
      <c r="Y181" s="1135"/>
      <c r="Z181" s="1135"/>
      <c r="AA181" s="1135"/>
      <c r="AB181" s="1135"/>
      <c r="AC181" s="1135"/>
      <c r="AD181" s="1135"/>
      <c r="AE181" s="1135"/>
      <c r="AF181" s="1135"/>
      <c r="AG181" s="1135"/>
      <c r="AH181" s="1135"/>
      <c r="AI181" s="1135"/>
      <c r="AJ181" s="1135"/>
      <c r="AK181" s="1135"/>
      <c r="AL181" s="1135"/>
      <c r="AM181" s="1135"/>
      <c r="AN181" s="1135"/>
      <c r="AO181" s="1034"/>
      <c r="AS181" s="513"/>
      <c r="AT181" s="513"/>
      <c r="AU181" s="513"/>
      <c r="AV181" s="513"/>
    </row>
    <row r="182" spans="2:65" x14ac:dyDescent="0.25">
      <c r="B182" s="1034"/>
      <c r="C182" s="1135"/>
      <c r="D182" s="1135"/>
      <c r="E182" s="1135"/>
      <c r="F182" s="1135"/>
      <c r="G182" s="1135"/>
      <c r="H182" s="1135"/>
      <c r="I182" s="1135"/>
      <c r="J182" s="1135"/>
      <c r="K182" s="1135"/>
      <c r="L182" s="1135"/>
      <c r="M182" s="1135"/>
      <c r="N182" s="1135"/>
      <c r="O182" s="1135"/>
      <c r="P182" s="1135"/>
      <c r="Q182" s="1135"/>
      <c r="R182" s="1135"/>
      <c r="S182" s="1135"/>
      <c r="T182" s="1135"/>
      <c r="U182" s="1135"/>
      <c r="V182" s="1135"/>
      <c r="W182" s="1135"/>
      <c r="X182" s="1135"/>
      <c r="Y182" s="1135"/>
      <c r="Z182" s="1135"/>
      <c r="AA182" s="1135"/>
      <c r="AB182" s="1135"/>
      <c r="AC182" s="1135"/>
      <c r="AD182" s="1135"/>
      <c r="AE182" s="1135"/>
      <c r="AF182" s="1135"/>
      <c r="AG182" s="1135"/>
      <c r="AH182" s="1135"/>
      <c r="AI182" s="1135"/>
      <c r="AJ182" s="1135"/>
      <c r="AK182" s="1135"/>
      <c r="AL182" s="1135"/>
      <c r="AM182" s="1135"/>
      <c r="AN182" s="1135"/>
      <c r="AO182" s="1034"/>
      <c r="AS182" s="513"/>
      <c r="AT182" s="513"/>
      <c r="AU182" s="513"/>
      <c r="AV182" s="513"/>
    </row>
    <row r="183" spans="2:65" ht="15.75" thickBot="1" x14ac:dyDescent="0.3">
      <c r="B183" s="1034"/>
      <c r="C183" s="1135"/>
      <c r="D183" s="1135"/>
      <c r="E183" s="1135"/>
      <c r="F183" s="1135"/>
      <c r="G183" s="1135"/>
      <c r="H183" s="1135"/>
      <c r="I183" s="1135"/>
      <c r="J183" s="1135"/>
      <c r="K183" s="1135"/>
      <c r="L183" s="1135"/>
      <c r="M183" s="1135"/>
      <c r="N183" s="1135"/>
      <c r="O183" s="1135"/>
      <c r="P183" s="1135"/>
      <c r="Q183" s="1135"/>
      <c r="R183" s="1135"/>
      <c r="S183" s="1135"/>
      <c r="T183" s="1135"/>
      <c r="U183" s="1135"/>
      <c r="V183" s="1135"/>
      <c r="W183" s="1135"/>
      <c r="X183" s="1135"/>
      <c r="Y183" s="1135"/>
      <c r="Z183" s="1135"/>
      <c r="AA183" s="1135"/>
      <c r="AB183" s="1135"/>
      <c r="AC183" s="1135"/>
      <c r="AD183" s="1135"/>
      <c r="AE183" s="1135"/>
      <c r="AF183" s="1135"/>
      <c r="AG183" s="1135"/>
      <c r="AH183" s="1135"/>
      <c r="AI183" s="1135"/>
      <c r="AJ183" s="1135"/>
      <c r="AK183" s="1135"/>
      <c r="AL183" s="1135"/>
      <c r="AM183" s="1135"/>
      <c r="AN183" s="1135"/>
      <c r="AO183" s="1034"/>
      <c r="AS183" s="513"/>
      <c r="AT183" s="513"/>
      <c r="AU183" s="513"/>
      <c r="AV183" s="513"/>
    </row>
    <row r="184" spans="2:65" x14ac:dyDescent="0.25">
      <c r="B184" s="1034"/>
      <c r="C184" s="1135"/>
      <c r="D184" s="2020" t="s">
        <v>228</v>
      </c>
      <c r="E184" s="2021">
        <v>2010</v>
      </c>
      <c r="F184" s="2021">
        <v>2020</v>
      </c>
      <c r="G184" s="2021">
        <v>2030</v>
      </c>
      <c r="H184" s="2021">
        <v>2040</v>
      </c>
      <c r="I184" s="2022">
        <v>2050</v>
      </c>
      <c r="J184" s="2017" t="s">
        <v>184</v>
      </c>
      <c r="K184" s="2018">
        <v>2010</v>
      </c>
      <c r="L184" s="2018">
        <v>2020</v>
      </c>
      <c r="M184" s="2018">
        <v>2030</v>
      </c>
      <c r="N184" s="2018">
        <v>2040</v>
      </c>
      <c r="O184" s="2019">
        <v>2050</v>
      </c>
      <c r="P184" s="1135"/>
      <c r="Q184" s="1135"/>
      <c r="R184" s="1135"/>
      <c r="S184" s="1135"/>
      <c r="T184" s="1135"/>
      <c r="U184" s="1135"/>
      <c r="V184" s="1135"/>
      <c r="W184" s="1135"/>
      <c r="X184" s="1135"/>
      <c r="Y184" s="1135"/>
      <c r="Z184" s="1135"/>
      <c r="AA184" s="1135"/>
      <c r="AB184" s="1135"/>
      <c r="AC184" s="1135"/>
      <c r="AD184" s="1135"/>
      <c r="AE184" s="1135"/>
      <c r="AF184" s="1135"/>
      <c r="AG184" s="1135"/>
      <c r="AH184" s="1135"/>
      <c r="AI184" s="1135"/>
      <c r="AJ184" s="1135"/>
      <c r="AK184" s="1135"/>
      <c r="AL184" s="1135"/>
      <c r="AM184" s="1135"/>
      <c r="AN184" s="1135"/>
      <c r="AO184" s="1034"/>
      <c r="AS184" s="513"/>
      <c r="AT184" s="513"/>
      <c r="AU184" s="513"/>
      <c r="AV184" s="513"/>
    </row>
    <row r="185" spans="2:65" ht="15.75" thickBot="1" x14ac:dyDescent="0.3">
      <c r="B185" s="1034"/>
      <c r="C185" s="1135"/>
      <c r="D185" s="971" t="s">
        <v>45</v>
      </c>
      <c r="E185" s="983">
        <v>2010</v>
      </c>
      <c r="F185" s="983">
        <v>2020</v>
      </c>
      <c r="G185" s="983">
        <v>2030</v>
      </c>
      <c r="H185" s="983">
        <v>2040</v>
      </c>
      <c r="I185" s="984">
        <v>2050</v>
      </c>
      <c r="J185" s="983"/>
      <c r="K185" s="983">
        <v>2010</v>
      </c>
      <c r="L185" s="983">
        <v>2020</v>
      </c>
      <c r="M185" s="983">
        <v>2030</v>
      </c>
      <c r="N185" s="983">
        <v>2040</v>
      </c>
      <c r="O185" s="984">
        <v>2050</v>
      </c>
      <c r="P185" s="1135"/>
      <c r="Q185" s="1135"/>
      <c r="R185" s="1135"/>
      <c r="S185" s="1135"/>
      <c r="T185" s="1135"/>
      <c r="U185" s="1135"/>
      <c r="V185" s="1135"/>
      <c r="W185" s="1135"/>
      <c r="X185" s="1135"/>
      <c r="Y185" s="1135"/>
      <c r="Z185" s="1135"/>
      <c r="AA185" s="1135"/>
      <c r="AB185" s="1135"/>
      <c r="AC185" s="1135"/>
      <c r="AD185" s="1135"/>
      <c r="AE185" s="1135"/>
      <c r="AF185" s="1135"/>
      <c r="AG185" s="1135"/>
      <c r="AH185" s="1135"/>
      <c r="AI185" s="1135"/>
      <c r="AJ185" s="1135"/>
      <c r="AK185" s="1135"/>
      <c r="AL185" s="1135"/>
      <c r="AM185" s="1135"/>
      <c r="AN185" s="1135"/>
      <c r="AO185" s="1034"/>
      <c r="AS185" s="513"/>
      <c r="AT185" s="513"/>
      <c r="AU185" s="513"/>
      <c r="AV185" s="513"/>
    </row>
    <row r="186" spans="2:65" ht="16.5" thickBot="1" x14ac:dyDescent="0.3">
      <c r="B186" s="1034"/>
      <c r="C186" s="1135"/>
      <c r="D186" s="1000"/>
      <c r="E186" s="968"/>
      <c r="F186" s="968"/>
      <c r="G186" s="968"/>
      <c r="H186" s="968"/>
      <c r="I186" s="968"/>
      <c r="J186" s="1000" t="s">
        <v>56</v>
      </c>
      <c r="K186" s="1089">
        <f>'Scenarios technology'!AR30</f>
        <v>14509</v>
      </c>
      <c r="L186" s="1089">
        <f>'Scenarios technology'!AR170</f>
        <v>14875.824822037219</v>
      </c>
      <c r="M186" s="1089">
        <f>'Scenarios technology'!AR310</f>
        <v>15251.93228288598</v>
      </c>
      <c r="N186" s="1089">
        <f t="shared" ref="N186:N191" si="61">(O186-M186)/2+M186</f>
        <v>15444.862465377082</v>
      </c>
      <c r="O186" s="1090">
        <f>'Scenarios technology'!AR450</f>
        <v>15637.792647868182</v>
      </c>
      <c r="P186" s="1135"/>
      <c r="Q186" s="1135"/>
      <c r="R186" s="1135"/>
      <c r="S186" s="1135"/>
      <c r="T186" s="1135"/>
      <c r="U186" s="1135"/>
      <c r="V186" s="1135"/>
      <c r="W186" s="1135"/>
      <c r="X186" s="1135"/>
      <c r="Y186" s="1135"/>
      <c r="Z186" s="1135"/>
      <c r="AA186" s="1135"/>
      <c r="AB186" s="1135"/>
      <c r="AC186" s="1135"/>
      <c r="AD186" s="1135"/>
      <c r="AE186" s="1135"/>
      <c r="AF186" s="1135"/>
      <c r="AG186" s="1135"/>
      <c r="AH186" s="1135"/>
      <c r="AI186" s="1135"/>
      <c r="AJ186" s="1135"/>
      <c r="AK186" s="1135"/>
      <c r="AL186" s="1135"/>
      <c r="AM186" s="1135"/>
      <c r="AN186" s="1135"/>
      <c r="AO186" s="1034"/>
      <c r="AS186" s="513"/>
      <c r="AT186" s="513"/>
      <c r="AU186" s="513"/>
      <c r="AV186" s="513"/>
    </row>
    <row r="187" spans="2:65" ht="15.75" x14ac:dyDescent="0.25">
      <c r="B187" s="1034"/>
      <c r="C187" s="1135"/>
      <c r="D187" s="986"/>
      <c r="E187" s="634"/>
      <c r="F187" s="634"/>
      <c r="G187" s="634"/>
      <c r="H187" s="634"/>
      <c r="I187" s="634"/>
      <c r="J187" s="999" t="str">
        <f>'Scenarios technology'!U31</f>
        <v>Battery electric busses</v>
      </c>
      <c r="K187" s="1089">
        <f>'Scenarios technology'!AR31</f>
        <v>0</v>
      </c>
      <c r="L187" s="1089">
        <f>'Scenarios technology'!AR171</f>
        <v>0</v>
      </c>
      <c r="M187" s="1089">
        <f>'Scenarios technology'!AR311</f>
        <v>0</v>
      </c>
      <c r="N187" s="1089">
        <f t="shared" si="61"/>
        <v>0</v>
      </c>
      <c r="O187" s="1090">
        <f>'Scenarios technology'!AR451</f>
        <v>0</v>
      </c>
      <c r="P187" s="1135"/>
      <c r="Q187" s="1135"/>
      <c r="R187" s="1135"/>
      <c r="S187" s="1135"/>
      <c r="T187" s="1135"/>
      <c r="U187" s="1135"/>
      <c r="V187" s="1135"/>
      <c r="W187" s="1135"/>
      <c r="X187" s="1135"/>
      <c r="Y187" s="1135"/>
      <c r="Z187" s="1135"/>
      <c r="AA187" s="1135"/>
      <c r="AB187" s="1135"/>
      <c r="AC187" s="1135"/>
      <c r="AD187" s="1135"/>
      <c r="AE187" s="1135"/>
      <c r="AF187" s="1135"/>
      <c r="AG187" s="1135"/>
      <c r="AH187" s="1135"/>
      <c r="AI187" s="1135"/>
      <c r="AJ187" s="1135"/>
      <c r="AK187" s="1135"/>
      <c r="AL187" s="1135"/>
      <c r="AM187" s="1135"/>
      <c r="AN187" s="1135"/>
      <c r="AO187" s="1034"/>
      <c r="AS187" s="513"/>
      <c r="AT187" s="513"/>
      <c r="AU187" s="513"/>
      <c r="AV187" s="513"/>
    </row>
    <row r="188" spans="2:65" ht="15.75" x14ac:dyDescent="0.25">
      <c r="B188" s="1034"/>
      <c r="C188" s="1135"/>
      <c r="D188" s="986"/>
      <c r="E188" s="634"/>
      <c r="F188" s="634"/>
      <c r="G188" s="634"/>
      <c r="H188" s="634"/>
      <c r="I188" s="634"/>
      <c r="J188" s="986" t="s">
        <v>96</v>
      </c>
      <c r="K188" s="1083">
        <f>'Scenarios technology'!AR32</f>
        <v>0</v>
      </c>
      <c r="L188" s="1083">
        <f>'Scenarios technology'!AR172</f>
        <v>0</v>
      </c>
      <c r="M188" s="1083">
        <f>'Scenarios technology'!AR312</f>
        <v>0</v>
      </c>
      <c r="N188" s="1083">
        <f t="shared" si="61"/>
        <v>0</v>
      </c>
      <c r="O188" s="1084">
        <f>'Scenarios technology'!AR452</f>
        <v>0</v>
      </c>
      <c r="P188" s="1135"/>
      <c r="Q188" s="1135"/>
      <c r="R188" s="1135"/>
      <c r="S188" s="1135"/>
      <c r="T188" s="1135"/>
      <c r="U188" s="1135"/>
      <c r="V188" s="1135"/>
      <c r="W188" s="1135"/>
      <c r="X188" s="1135"/>
      <c r="Y188" s="1135"/>
      <c r="Z188" s="1135"/>
      <c r="AA188" s="1135"/>
      <c r="AB188" s="1135"/>
      <c r="AC188" s="1135"/>
      <c r="AD188" s="1135"/>
      <c r="AE188" s="1135"/>
      <c r="AF188" s="1135"/>
      <c r="AG188" s="1135"/>
      <c r="AH188" s="1135"/>
      <c r="AI188" s="1135"/>
      <c r="AJ188" s="1135"/>
      <c r="AK188" s="1135"/>
      <c r="AL188" s="1135"/>
      <c r="AM188" s="1135"/>
      <c r="AN188" s="1135"/>
      <c r="AO188" s="1034"/>
      <c r="AS188" s="513"/>
      <c r="AT188" s="513"/>
      <c r="AU188" s="513"/>
      <c r="AV188" s="513"/>
    </row>
    <row r="189" spans="2:65" ht="15.75" x14ac:dyDescent="0.25">
      <c r="B189" s="1034"/>
      <c r="C189" s="1135"/>
      <c r="D189" s="986" t="s">
        <v>74</v>
      </c>
      <c r="E189" s="1083">
        <f>'Scenarios technology'!T32</f>
        <v>63.918546204407782</v>
      </c>
      <c r="F189" s="1083">
        <f>'Scenarios technology'!T172</f>
        <v>758.40599115104237</v>
      </c>
      <c r="G189" s="1083">
        <f>'Scenarios technology'!T312</f>
        <v>777.58087086606497</v>
      </c>
      <c r="H189" s="1083">
        <f>(I189-G189)/2+G189</f>
        <v>787.41692419591834</v>
      </c>
      <c r="I189" s="1083">
        <f>'Scenarios technology'!T452</f>
        <v>797.25297752577171</v>
      </c>
      <c r="J189" s="986" t="s">
        <v>422</v>
      </c>
      <c r="K189" s="1083">
        <f>'Scenarios technology'!AR33</f>
        <v>0</v>
      </c>
      <c r="L189" s="1083">
        <f>'Scenarios technology'!AR173</f>
        <v>0</v>
      </c>
      <c r="M189" s="1083">
        <f>'Scenarios technology'!AR313</f>
        <v>0</v>
      </c>
      <c r="N189" s="1083">
        <f t="shared" si="61"/>
        <v>0</v>
      </c>
      <c r="O189" s="1084">
        <f>'Scenarios technology'!AR453</f>
        <v>0</v>
      </c>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5"/>
      <c r="AK189" s="1135"/>
      <c r="AL189" s="1135"/>
      <c r="AM189" s="1135"/>
      <c r="AN189" s="1135"/>
      <c r="AO189" s="1034"/>
      <c r="AS189" s="513"/>
      <c r="AT189" s="513"/>
      <c r="AU189" s="513"/>
      <c r="AV189" s="513"/>
    </row>
    <row r="190" spans="2:65" ht="15.75" x14ac:dyDescent="0.25">
      <c r="B190" s="1034"/>
      <c r="C190" s="1135"/>
      <c r="D190" s="986"/>
      <c r="E190" s="634"/>
      <c r="F190" s="634"/>
      <c r="G190" s="634"/>
      <c r="H190" s="634"/>
      <c r="I190" s="634"/>
      <c r="J190" s="986" t="s">
        <v>426</v>
      </c>
      <c r="K190" s="1083">
        <f>'Scenarios technology'!AR34</f>
        <v>0</v>
      </c>
      <c r="L190" s="1083">
        <f>'Scenarios technology'!AR174</f>
        <v>0</v>
      </c>
      <c r="M190" s="1083">
        <f>'Scenarios technology'!AR314</f>
        <v>0</v>
      </c>
      <c r="N190" s="1083">
        <f t="shared" si="61"/>
        <v>0</v>
      </c>
      <c r="O190" s="1084">
        <f>'Scenarios technology'!AR454</f>
        <v>0</v>
      </c>
      <c r="P190" s="1135"/>
      <c r="Q190" s="1135"/>
      <c r="R190" s="1135"/>
      <c r="S190" s="1135"/>
      <c r="T190" s="1135"/>
      <c r="U190" s="1135"/>
      <c r="V190" s="1135"/>
      <c r="W190" s="1135"/>
      <c r="X190" s="1135"/>
      <c r="Y190" s="1135"/>
      <c r="Z190" s="1135"/>
      <c r="AA190" s="1135"/>
      <c r="AB190" s="1135"/>
      <c r="AC190" s="1135"/>
      <c r="AD190" s="1135"/>
      <c r="AE190" s="1135"/>
      <c r="AF190" s="1135"/>
      <c r="AG190" s="1135"/>
      <c r="AH190" s="1135"/>
      <c r="AI190" s="1135"/>
      <c r="AJ190" s="1135"/>
      <c r="AK190" s="1135"/>
      <c r="AL190" s="1135"/>
      <c r="AM190" s="1135"/>
      <c r="AN190" s="1135"/>
      <c r="AO190" s="1034"/>
      <c r="AS190" s="513"/>
      <c r="AT190" s="513"/>
      <c r="AU190" s="513"/>
      <c r="AV190" s="513"/>
    </row>
    <row r="191" spans="2:65" ht="15.75" x14ac:dyDescent="0.25">
      <c r="B191" s="1034"/>
      <c r="C191" s="1135"/>
      <c r="D191" s="986"/>
      <c r="E191" s="634"/>
      <c r="F191" s="634"/>
      <c r="G191" s="634"/>
      <c r="H191" s="634"/>
      <c r="I191" s="634"/>
      <c r="J191" s="986" t="s">
        <v>412</v>
      </c>
      <c r="K191" s="1083">
        <f>'Scenarios technology'!AR38</f>
        <v>0</v>
      </c>
      <c r="L191" s="1083">
        <f>'Scenarios technology'!AR178</f>
        <v>0</v>
      </c>
      <c r="M191" s="1083">
        <f>'Scenarios technology'!AR318</f>
        <v>0</v>
      </c>
      <c r="N191" s="1083">
        <f t="shared" si="61"/>
        <v>0</v>
      </c>
      <c r="O191" s="1084">
        <f>'Scenarios technology'!AR458</f>
        <v>0</v>
      </c>
      <c r="P191" s="1135"/>
      <c r="Q191" s="1135"/>
      <c r="R191" s="1135"/>
      <c r="S191" s="1135"/>
      <c r="T191" s="1135"/>
      <c r="U191" s="1135"/>
      <c r="V191" s="1135"/>
      <c r="W191" s="1135"/>
      <c r="X191" s="1135"/>
      <c r="Y191" s="1135"/>
      <c r="Z191" s="1135"/>
      <c r="AA191" s="1135"/>
      <c r="AB191" s="1135"/>
      <c r="AC191" s="1135"/>
      <c r="AD191" s="1135"/>
      <c r="AE191" s="1135"/>
      <c r="AF191" s="1135"/>
      <c r="AG191" s="1135"/>
      <c r="AH191" s="1135"/>
      <c r="AI191" s="1135"/>
      <c r="AJ191" s="1135"/>
      <c r="AK191" s="1135"/>
      <c r="AL191" s="1135"/>
      <c r="AM191" s="1135"/>
      <c r="AN191" s="1135"/>
      <c r="AO191" s="1034"/>
      <c r="AS191" s="513"/>
      <c r="AT191" s="513"/>
      <c r="AU191" s="513"/>
      <c r="AV191" s="513"/>
    </row>
    <row r="192" spans="2:65" ht="15.75" x14ac:dyDescent="0.25">
      <c r="B192" s="1034"/>
      <c r="C192" s="1135"/>
      <c r="D192" s="986" t="s">
        <v>3</v>
      </c>
      <c r="E192" s="1083">
        <f>'Scenarios technology'!T31</f>
        <v>14445.081453795592</v>
      </c>
      <c r="F192" s="1083">
        <f>'Scenarios technology'!T171</f>
        <v>14117.418830886178</v>
      </c>
      <c r="G192" s="1083">
        <f>'Scenarios technology'!T311</f>
        <v>14474.351412019916</v>
      </c>
      <c r="H192" s="1083">
        <f>(I192-G192)/2+G192</f>
        <v>14657.445541181163</v>
      </c>
      <c r="I192" s="1083">
        <f>'Scenarios technology'!T451</f>
        <v>14840.53967034241</v>
      </c>
      <c r="J192" s="986" t="s">
        <v>417</v>
      </c>
      <c r="K192" s="1083">
        <f>'Scenarios technology'!AR39</f>
        <v>0</v>
      </c>
      <c r="L192" s="1083">
        <f>'Scenarios technology'!AR179</f>
        <v>0</v>
      </c>
      <c r="M192" s="1083">
        <f>'Scenarios technology'!AR319</f>
        <v>0</v>
      </c>
      <c r="N192" s="1083">
        <f t="shared" ref="N192:N194" si="62">(O192-M192)/2+M192</f>
        <v>0</v>
      </c>
      <c r="O192" s="1084">
        <f>'Scenarios technology'!AR459</f>
        <v>0</v>
      </c>
      <c r="P192" s="1135"/>
      <c r="Q192" s="1135"/>
      <c r="R192" s="1135"/>
      <c r="S192" s="1135"/>
      <c r="T192" s="1135"/>
      <c r="U192" s="1135"/>
      <c r="V192" s="1135"/>
      <c r="W192" s="1135"/>
      <c r="X192" s="1135"/>
      <c r="Y192" s="1135"/>
      <c r="Z192" s="1135"/>
      <c r="AA192" s="1135"/>
      <c r="AB192" s="1135"/>
      <c r="AC192" s="1135"/>
      <c r="AD192" s="1135"/>
      <c r="AE192" s="1135"/>
      <c r="AF192" s="1135"/>
      <c r="AG192" s="1135"/>
      <c r="AH192" s="1135"/>
      <c r="AI192" s="1135"/>
      <c r="AJ192" s="1135"/>
      <c r="AK192" s="1135"/>
      <c r="AL192" s="1135"/>
      <c r="AM192" s="1135"/>
      <c r="AN192" s="1135"/>
      <c r="AO192" s="1034"/>
      <c r="AS192" s="513"/>
      <c r="AT192" s="513"/>
      <c r="AU192" s="513"/>
      <c r="AV192" s="513"/>
    </row>
    <row r="193" spans="2:55" ht="15.75" x14ac:dyDescent="0.25">
      <c r="B193" s="1034"/>
      <c r="C193" s="1135"/>
      <c r="D193" s="986"/>
      <c r="E193" s="991"/>
      <c r="F193" s="991"/>
      <c r="G193" s="991"/>
      <c r="H193" s="991"/>
      <c r="I193" s="991"/>
      <c r="J193" s="986" t="s">
        <v>61</v>
      </c>
      <c r="K193" s="1083">
        <f>'Scenarios technology'!AR35</f>
        <v>0</v>
      </c>
      <c r="L193" s="1083">
        <f>'Scenarios technology'!AR175</f>
        <v>0</v>
      </c>
      <c r="M193" s="1083">
        <f>'Scenarios technology'!AR315</f>
        <v>0</v>
      </c>
      <c r="N193" s="1083">
        <f t="shared" si="62"/>
        <v>0</v>
      </c>
      <c r="O193" s="1084">
        <f>'Scenarios technology'!AR455</f>
        <v>0</v>
      </c>
      <c r="P193" s="1135"/>
      <c r="Q193" s="1135"/>
      <c r="R193" s="1135"/>
      <c r="S193" s="1135"/>
      <c r="T193" s="1135"/>
      <c r="U193" s="1135"/>
      <c r="V193" s="1135"/>
      <c r="W193" s="1135"/>
      <c r="X193" s="1135"/>
      <c r="Y193" s="1135"/>
      <c r="Z193" s="1135"/>
      <c r="AA193" s="1135"/>
      <c r="AB193" s="1135"/>
      <c r="AC193" s="1135"/>
      <c r="AD193" s="1135"/>
      <c r="AE193" s="1135"/>
      <c r="AF193" s="1135"/>
      <c r="AG193" s="1135"/>
      <c r="AH193" s="1135"/>
      <c r="AI193" s="1135"/>
      <c r="AJ193" s="1135"/>
      <c r="AK193" s="1135"/>
      <c r="AL193" s="1135"/>
      <c r="AM193" s="1135"/>
      <c r="AN193" s="1135"/>
      <c r="AO193" s="1034"/>
      <c r="AS193" s="513"/>
      <c r="AT193" s="513"/>
      <c r="AU193" s="513"/>
      <c r="AV193" s="513"/>
    </row>
    <row r="194" spans="2:55" ht="15.75" x14ac:dyDescent="0.25">
      <c r="B194" s="1034"/>
      <c r="C194" s="1135"/>
      <c r="D194" s="986"/>
      <c r="E194" s="991"/>
      <c r="F194" s="991"/>
      <c r="G194" s="991"/>
      <c r="H194" s="991"/>
      <c r="I194" s="991"/>
      <c r="J194" s="986" t="s">
        <v>483</v>
      </c>
      <c r="K194" s="1083">
        <f>'Scenarios technology'!AR32</f>
        <v>0</v>
      </c>
      <c r="L194" s="1069">
        <f>'Scenarios technology'!AR177</f>
        <v>0</v>
      </c>
      <c r="M194" s="1069">
        <f>'Scenarios technology'!AR317</f>
        <v>0</v>
      </c>
      <c r="N194" s="1083">
        <f t="shared" si="62"/>
        <v>0</v>
      </c>
      <c r="O194" s="1070">
        <f>'Scenarios technology'!AR457</f>
        <v>0</v>
      </c>
      <c r="P194" s="1135"/>
      <c r="Q194" s="1135"/>
      <c r="R194" s="1135"/>
      <c r="S194" s="1135"/>
      <c r="T194" s="1135"/>
      <c r="U194" s="1135"/>
      <c r="V194" s="1135"/>
      <c r="W194" s="1135"/>
      <c r="X194" s="1135"/>
      <c r="Y194" s="1135"/>
      <c r="Z194" s="1135"/>
      <c r="AA194" s="1135"/>
      <c r="AB194" s="1135"/>
      <c r="AC194" s="1135"/>
      <c r="AD194" s="1135"/>
      <c r="AE194" s="1135"/>
      <c r="AF194" s="1135"/>
      <c r="AG194" s="1135"/>
      <c r="AH194" s="1135"/>
      <c r="AI194" s="1135"/>
      <c r="AJ194" s="1135"/>
      <c r="AK194" s="1135"/>
      <c r="AL194" s="1135"/>
      <c r="AM194" s="1135"/>
      <c r="AN194" s="1135"/>
      <c r="AO194" s="1034"/>
      <c r="AS194" s="513"/>
      <c r="AT194" s="513"/>
      <c r="AU194" s="513"/>
      <c r="AV194" s="513"/>
    </row>
    <row r="195" spans="2:55" ht="16.5" thickBot="1" x14ac:dyDescent="0.3">
      <c r="B195" s="1034"/>
      <c r="C195" s="1135"/>
      <c r="D195" s="994"/>
      <c r="E195" s="995"/>
      <c r="F195" s="995"/>
      <c r="G195" s="995"/>
      <c r="H195" s="995"/>
      <c r="I195" s="995"/>
      <c r="J195" s="994" t="s">
        <v>87</v>
      </c>
      <c r="K195" s="1091">
        <f>'Scenarios technology'!AR36</f>
        <v>0</v>
      </c>
      <c r="L195" s="1091">
        <f>'Scenarios technology'!AR176</f>
        <v>0</v>
      </c>
      <c r="M195" s="1091">
        <f>'Scenarios technology'!AR316</f>
        <v>0</v>
      </c>
      <c r="N195" s="1091">
        <f>(O195-M195)/2+M195</f>
        <v>0</v>
      </c>
      <c r="O195" s="1092">
        <f>'Scenarios technology'!AR456</f>
        <v>0</v>
      </c>
      <c r="P195" s="1135"/>
      <c r="Q195" s="1135"/>
      <c r="R195" s="1135"/>
      <c r="S195" s="1135"/>
      <c r="T195" s="1135"/>
      <c r="U195" s="1135"/>
      <c r="V195" s="1135"/>
      <c r="W195" s="1135"/>
      <c r="X195" s="1135"/>
      <c r="Y195" s="1135"/>
      <c r="Z195" s="1135"/>
      <c r="AA195" s="1135"/>
      <c r="AB195" s="1135"/>
      <c r="AC195" s="1135"/>
      <c r="AD195" s="1135"/>
      <c r="AE195" s="1135"/>
      <c r="AF195" s="1135"/>
      <c r="AG195" s="1135"/>
      <c r="AH195" s="1135"/>
      <c r="AI195" s="1135"/>
      <c r="AJ195" s="1135"/>
      <c r="AK195" s="1135"/>
      <c r="AL195" s="1135"/>
      <c r="AM195" s="1135"/>
      <c r="AN195" s="1135"/>
      <c r="AO195" s="1034"/>
      <c r="AS195" s="513"/>
      <c r="AT195" s="513"/>
      <c r="AU195" s="513"/>
      <c r="AV195" s="513"/>
    </row>
    <row r="196" spans="2:55" ht="17.25" thickTop="1" thickBot="1" x14ac:dyDescent="0.3">
      <c r="B196" s="1034"/>
      <c r="C196" s="1135"/>
      <c r="D196" s="996" t="s">
        <v>60</v>
      </c>
      <c r="E196" s="1087">
        <f>'Scenarios technology'!T30</f>
        <v>14509</v>
      </c>
      <c r="F196" s="1087">
        <f>'Scenarios technology'!T170</f>
        <v>14875.824822037219</v>
      </c>
      <c r="G196" s="1087">
        <f>'Scenarios technology'!T310</f>
        <v>15251.93228288598</v>
      </c>
      <c r="H196" s="1087">
        <f>(I196-G196)/2+G196</f>
        <v>15444.862465377082</v>
      </c>
      <c r="I196" s="1087">
        <f>'Scenarios technology'!T450</f>
        <v>15637.792647868182</v>
      </c>
      <c r="J196" s="1036" t="s">
        <v>93</v>
      </c>
      <c r="K196" s="1087">
        <f>'Scenarios technology'!AR40</f>
        <v>14509</v>
      </c>
      <c r="L196" s="1087">
        <f>'Scenarios technology'!AR180</f>
        <v>14875.824822037219</v>
      </c>
      <c r="M196" s="1087">
        <f>'Scenarios technology'!AR320</f>
        <v>15251.93228288598</v>
      </c>
      <c r="N196" s="1087">
        <f>(O196-M196)/2+M196</f>
        <v>15444.862465377082</v>
      </c>
      <c r="O196" s="1088">
        <f>'Scenarios technology'!AR460</f>
        <v>15637.792647868182</v>
      </c>
      <c r="P196" s="1135"/>
      <c r="Q196" s="1135"/>
      <c r="R196" s="1135"/>
      <c r="S196" s="1135"/>
      <c r="T196" s="1135"/>
      <c r="U196" s="1135"/>
      <c r="V196" s="1135"/>
      <c r="W196" s="1135"/>
      <c r="X196" s="1135"/>
      <c r="Y196" s="1135"/>
      <c r="Z196" s="1135"/>
      <c r="AA196" s="1135"/>
      <c r="AB196" s="1135"/>
      <c r="AC196" s="1135"/>
      <c r="AD196" s="1135"/>
      <c r="AE196" s="1135"/>
      <c r="AF196" s="1135"/>
      <c r="AG196" s="1135"/>
      <c r="AH196" s="1135"/>
      <c r="AI196" s="1135"/>
      <c r="AJ196" s="1135"/>
      <c r="AK196" s="1135"/>
      <c r="AL196" s="1135"/>
      <c r="AM196" s="1135"/>
      <c r="AN196" s="1135"/>
      <c r="AO196" s="1034"/>
      <c r="AS196" s="513"/>
      <c r="AT196" s="513"/>
      <c r="AU196" s="513"/>
      <c r="AV196" s="513"/>
    </row>
    <row r="197" spans="2:55" x14ac:dyDescent="0.25">
      <c r="B197" s="1034"/>
      <c r="C197" s="1135"/>
      <c r="D197" s="1135"/>
      <c r="E197" s="1135"/>
      <c r="F197" s="1135"/>
      <c r="G197" s="1135"/>
      <c r="H197" s="1135"/>
      <c r="I197" s="1135"/>
      <c r="J197" s="1135"/>
      <c r="K197" s="1135"/>
      <c r="L197" s="1135"/>
      <c r="M197" s="1135"/>
      <c r="N197" s="1135"/>
      <c r="O197" s="1135"/>
      <c r="P197" s="1135"/>
      <c r="Q197" s="1135"/>
      <c r="R197" s="1135"/>
      <c r="S197" s="1135"/>
      <c r="T197" s="1135"/>
      <c r="U197" s="1135"/>
      <c r="V197" s="1135"/>
      <c r="W197" s="1135"/>
      <c r="X197" s="1135"/>
      <c r="Y197" s="1135"/>
      <c r="Z197" s="1135"/>
      <c r="AA197" s="1135"/>
      <c r="AB197" s="1135"/>
      <c r="AC197" s="1135"/>
      <c r="AD197" s="1135"/>
      <c r="AE197" s="1135"/>
      <c r="AF197" s="1135"/>
      <c r="AG197" s="1135"/>
      <c r="AH197" s="1135"/>
      <c r="AI197" s="1135"/>
      <c r="AJ197" s="1135"/>
      <c r="AK197" s="1135"/>
      <c r="AL197" s="1135"/>
      <c r="AM197" s="1135"/>
      <c r="AN197" s="1135"/>
      <c r="AO197" s="1034"/>
      <c r="AS197" s="513"/>
      <c r="AT197" s="513"/>
      <c r="AU197" s="513"/>
      <c r="AV197" s="513"/>
    </row>
    <row r="198" spans="2:55" ht="15.75" thickBot="1" x14ac:dyDescent="0.3">
      <c r="B198" s="1034"/>
      <c r="C198" s="1135"/>
      <c r="D198" s="1135"/>
      <c r="E198" s="1135"/>
      <c r="F198" s="1135"/>
      <c r="G198" s="1135"/>
      <c r="H198" s="1135"/>
      <c r="I198" s="1135"/>
      <c r="J198" s="1135"/>
      <c r="K198" s="1135"/>
      <c r="L198" s="1135"/>
      <c r="M198" s="1135"/>
      <c r="N198" s="1135"/>
      <c r="O198" s="1135"/>
      <c r="P198" s="1135"/>
      <c r="Q198" s="1135"/>
      <c r="R198" s="1135"/>
      <c r="S198" s="1135"/>
      <c r="T198" s="1135"/>
      <c r="U198" s="1135"/>
      <c r="V198" s="1135"/>
      <c r="W198" s="1135"/>
      <c r="X198" s="1135"/>
      <c r="Y198" s="1135"/>
      <c r="Z198" s="1135"/>
      <c r="AA198" s="1135"/>
      <c r="AB198" s="1135"/>
      <c r="AC198" s="1135"/>
      <c r="AD198" s="1135"/>
      <c r="AE198" s="1135"/>
      <c r="AF198" s="1135"/>
      <c r="AG198" s="1135"/>
      <c r="AH198" s="1135"/>
      <c r="AI198" s="1135"/>
      <c r="AJ198" s="1135"/>
      <c r="AK198" s="1135"/>
      <c r="AL198" s="1135"/>
      <c r="AM198" s="1135"/>
      <c r="AN198" s="1135"/>
      <c r="AO198" s="1034"/>
      <c r="AS198" s="513"/>
      <c r="AT198" s="513"/>
      <c r="AU198" s="513"/>
      <c r="AV198" s="513"/>
    </row>
    <row r="199" spans="2:55" x14ac:dyDescent="0.25">
      <c r="B199" s="1034"/>
      <c r="C199" s="1135"/>
      <c r="D199" s="2020" t="s">
        <v>181</v>
      </c>
      <c r="E199" s="2021">
        <v>2010</v>
      </c>
      <c r="F199" s="2021">
        <v>2020</v>
      </c>
      <c r="G199" s="2021">
        <v>2030</v>
      </c>
      <c r="H199" s="2021">
        <v>2040</v>
      </c>
      <c r="I199" s="2022">
        <v>2050</v>
      </c>
      <c r="J199" s="2017" t="s">
        <v>181</v>
      </c>
      <c r="K199" s="2018">
        <v>2010</v>
      </c>
      <c r="L199" s="2018">
        <v>2020</v>
      </c>
      <c r="M199" s="2018">
        <v>2030</v>
      </c>
      <c r="N199" s="2018">
        <v>2040</v>
      </c>
      <c r="O199" s="2019">
        <v>2050</v>
      </c>
      <c r="P199" s="2020" t="s">
        <v>189</v>
      </c>
      <c r="Q199" s="2021">
        <v>2010</v>
      </c>
      <c r="R199" s="2021">
        <v>2020</v>
      </c>
      <c r="S199" s="2021">
        <v>2030</v>
      </c>
      <c r="T199" s="2021">
        <v>2040</v>
      </c>
      <c r="U199" s="2022">
        <v>2050</v>
      </c>
      <c r="V199" s="2017" t="s">
        <v>189</v>
      </c>
      <c r="W199" s="2018">
        <v>2010</v>
      </c>
      <c r="X199" s="2018">
        <v>2020</v>
      </c>
      <c r="Y199" s="2018">
        <v>2030</v>
      </c>
      <c r="Z199" s="2018">
        <v>2040</v>
      </c>
      <c r="AA199" s="2019">
        <v>2050</v>
      </c>
      <c r="AB199" s="2020" t="s">
        <v>191</v>
      </c>
      <c r="AC199" s="2021">
        <v>2010</v>
      </c>
      <c r="AD199" s="2021">
        <v>2020</v>
      </c>
      <c r="AE199" s="2021">
        <v>2030</v>
      </c>
      <c r="AF199" s="2021">
        <v>2040</v>
      </c>
      <c r="AG199" s="2022">
        <v>2050</v>
      </c>
      <c r="AH199" s="2017" t="s">
        <v>191</v>
      </c>
      <c r="AI199" s="2018">
        <v>2010</v>
      </c>
      <c r="AJ199" s="2018">
        <v>2020</v>
      </c>
      <c r="AK199" s="2018">
        <v>2030</v>
      </c>
      <c r="AL199" s="2018">
        <v>2040</v>
      </c>
      <c r="AM199" s="2019">
        <v>2050</v>
      </c>
      <c r="AN199" s="1139"/>
      <c r="AO199" s="1034"/>
      <c r="AS199" s="513"/>
      <c r="AT199" s="513"/>
      <c r="AU199" s="513"/>
      <c r="AV199" s="513"/>
    </row>
    <row r="200" spans="2:55" ht="15.75" thickBot="1" x14ac:dyDescent="0.3">
      <c r="B200" s="1034"/>
      <c r="C200" s="1135"/>
      <c r="D200" s="971" t="s">
        <v>182</v>
      </c>
      <c r="E200" s="983">
        <v>2010</v>
      </c>
      <c r="F200" s="983">
        <v>2020</v>
      </c>
      <c r="G200" s="983">
        <v>2030</v>
      </c>
      <c r="H200" s="983">
        <v>2040</v>
      </c>
      <c r="I200" s="984">
        <v>2050</v>
      </c>
      <c r="J200" s="971" t="s">
        <v>182</v>
      </c>
      <c r="K200" s="983">
        <v>2010</v>
      </c>
      <c r="L200" s="983">
        <v>2020</v>
      </c>
      <c r="M200" s="983">
        <v>2030</v>
      </c>
      <c r="N200" s="983">
        <v>2040</v>
      </c>
      <c r="O200" s="984">
        <v>2050</v>
      </c>
      <c r="P200" s="971" t="s">
        <v>391</v>
      </c>
      <c r="Q200" s="983">
        <v>2010</v>
      </c>
      <c r="R200" s="983">
        <v>2020</v>
      </c>
      <c r="S200" s="983">
        <v>2030</v>
      </c>
      <c r="T200" s="983">
        <v>2040</v>
      </c>
      <c r="U200" s="984">
        <v>2050</v>
      </c>
      <c r="V200" s="971" t="s">
        <v>391</v>
      </c>
      <c r="W200" s="983">
        <v>2010</v>
      </c>
      <c r="X200" s="983">
        <v>2020</v>
      </c>
      <c r="Y200" s="983">
        <v>2030</v>
      </c>
      <c r="Z200" s="983">
        <v>2040</v>
      </c>
      <c r="AA200" s="984">
        <v>2050</v>
      </c>
      <c r="AB200" s="971" t="s">
        <v>391</v>
      </c>
      <c r="AC200" s="983">
        <v>2010</v>
      </c>
      <c r="AD200" s="983">
        <v>2020</v>
      </c>
      <c r="AE200" s="983">
        <v>2030</v>
      </c>
      <c r="AF200" s="983">
        <v>2040</v>
      </c>
      <c r="AG200" s="984">
        <v>2050</v>
      </c>
      <c r="AH200" s="971" t="s">
        <v>391</v>
      </c>
      <c r="AI200" s="983">
        <v>2010</v>
      </c>
      <c r="AJ200" s="983">
        <v>2020</v>
      </c>
      <c r="AK200" s="983">
        <v>2030</v>
      </c>
      <c r="AL200" s="983">
        <v>2040</v>
      </c>
      <c r="AM200" s="984">
        <v>2050</v>
      </c>
      <c r="AN200" s="1139"/>
      <c r="AO200" s="1034"/>
      <c r="AS200" s="513"/>
      <c r="AT200" s="513"/>
      <c r="AU200" s="513"/>
      <c r="AV200" s="513"/>
    </row>
    <row r="201" spans="2:55" ht="15.75" x14ac:dyDescent="0.25">
      <c r="B201" s="1034"/>
      <c r="C201" s="1135"/>
      <c r="D201" s="986"/>
      <c r="E201" s="1081"/>
      <c r="F201" s="1081"/>
      <c r="G201" s="1081"/>
      <c r="H201" s="1081"/>
      <c r="I201" s="1081"/>
      <c r="J201" s="999" t="str">
        <f t="shared" ref="J201:J207" si="63">J187</f>
        <v>Battery electric busses</v>
      </c>
      <c r="K201" s="989">
        <v>1608304.9001814881</v>
      </c>
      <c r="L201" s="989">
        <v>1305081.66969147</v>
      </c>
      <c r="M201" s="989">
        <v>1305081.66969147</v>
      </c>
      <c r="N201" s="989">
        <v>1305081.66969147</v>
      </c>
      <c r="O201" s="990">
        <v>1305081.66969147</v>
      </c>
      <c r="P201" s="1000"/>
      <c r="Q201" s="1099"/>
      <c r="R201" s="1099"/>
      <c r="S201" s="1099"/>
      <c r="T201" s="1099"/>
      <c r="U201" s="1100"/>
      <c r="V201" s="988" t="str">
        <f t="shared" ref="V201:V207" si="64">J187</f>
        <v>Battery electric busses</v>
      </c>
      <c r="W201" s="1089">
        <f t="shared" ref="W201:W210" si="65">K187*K201/1000000</f>
        <v>0</v>
      </c>
      <c r="X201" s="1089">
        <f t="shared" ref="X201:X210" si="66">L187*L201/1000000</f>
        <v>0</v>
      </c>
      <c r="Y201" s="1089">
        <f t="shared" ref="Y201:Y210" si="67">M187*M201/1000000</f>
        <v>0</v>
      </c>
      <c r="Z201" s="1089">
        <f t="shared" ref="Z201:Z210" si="68">N187*N201/1000000</f>
        <v>0</v>
      </c>
      <c r="AA201" s="1090">
        <f t="shared" ref="AA201:AA210" si="69">O187*O201/1000000</f>
        <v>0</v>
      </c>
      <c r="AB201" s="1000"/>
      <c r="AC201" s="1099"/>
      <c r="AD201" s="1099"/>
      <c r="AE201" s="1099"/>
      <c r="AF201" s="1099"/>
      <c r="AG201" s="1100"/>
      <c r="AH201" s="988" t="str">
        <f t="shared" ref="AH201:AH210" si="70">V201</f>
        <v>Battery electric busses</v>
      </c>
      <c r="AI201" s="1089">
        <f t="shared" ref="AI201:AI210" si="71">-PMT($E$7,$G$7,W201,0,0)</f>
        <v>0</v>
      </c>
      <c r="AJ201" s="1089">
        <f t="shared" ref="AJ201:AJ210" si="72">-PMT($E$7,$G$7,X201,0,0)</f>
        <v>0</v>
      </c>
      <c r="AK201" s="1089">
        <f t="shared" ref="AK201:AK210" si="73">-PMT($E$7,$G$7,Y201,0,0)</f>
        <v>0</v>
      </c>
      <c r="AL201" s="1089">
        <f t="shared" ref="AL201:AL210" si="74">-PMT($E$7,$G$7,Z201,0,0)</f>
        <v>0</v>
      </c>
      <c r="AM201" s="1090">
        <f t="shared" ref="AM201:AM210" si="75">-PMT($E$7,$G$7,AA201,0,0)</f>
        <v>0</v>
      </c>
      <c r="AN201" s="1140"/>
      <c r="AO201" s="1034"/>
      <c r="AS201" s="513"/>
      <c r="AT201" s="513"/>
      <c r="AU201" s="513"/>
      <c r="AV201" s="513"/>
    </row>
    <row r="202" spans="2:55" ht="15.75" x14ac:dyDescent="0.25">
      <c r="B202" s="1034"/>
      <c r="C202" s="1135"/>
      <c r="D202" s="986"/>
      <c r="E202" s="1081"/>
      <c r="F202" s="1081"/>
      <c r="G202" s="1081"/>
      <c r="H202" s="1081"/>
      <c r="I202" s="1081"/>
      <c r="J202" s="986" t="str">
        <f t="shared" si="63"/>
        <v>Fuel cell hybrid busses (methanol/Synthetic fuel)</v>
      </c>
      <c r="K202" s="1037">
        <f>K209*(K73/K83)</f>
        <v>9995626.3200101294</v>
      </c>
      <c r="L202" s="1037">
        <f>L209*(L73/L83)</f>
        <v>1952779.3019035114</v>
      </c>
      <c r="M202" s="1037">
        <f>M209*(M73/M83)</f>
        <v>1952779.3019035114</v>
      </c>
      <c r="N202" s="1037">
        <f>N209*(N73/N83)</f>
        <v>1952779.3019035114</v>
      </c>
      <c r="O202" s="1038">
        <f>O209*(O73/O83)</f>
        <v>1952779.3019035114</v>
      </c>
      <c r="P202" s="986"/>
      <c r="Q202" s="1081"/>
      <c r="R202" s="1081"/>
      <c r="S202" s="1081"/>
      <c r="T202" s="1081"/>
      <c r="U202" s="1082"/>
      <c r="V202" s="986" t="str">
        <f t="shared" si="64"/>
        <v>Fuel cell hybrid busses (methanol/Synthetic fuel)</v>
      </c>
      <c r="W202" s="1083">
        <f t="shared" si="65"/>
        <v>0</v>
      </c>
      <c r="X202" s="1083">
        <f t="shared" si="66"/>
        <v>0</v>
      </c>
      <c r="Y202" s="1083">
        <f t="shared" si="67"/>
        <v>0</v>
      </c>
      <c r="Z202" s="1083">
        <f t="shared" si="68"/>
        <v>0</v>
      </c>
      <c r="AA202" s="1084">
        <f t="shared" si="69"/>
        <v>0</v>
      </c>
      <c r="AB202" s="986"/>
      <c r="AC202" s="1081"/>
      <c r="AD202" s="1081"/>
      <c r="AE202" s="1081"/>
      <c r="AF202" s="1081"/>
      <c r="AG202" s="1082"/>
      <c r="AH202" s="986" t="str">
        <f t="shared" si="70"/>
        <v>Fuel cell hybrid busses (methanol/Synthetic fuel)</v>
      </c>
      <c r="AI202" s="1083">
        <f t="shared" si="71"/>
        <v>0</v>
      </c>
      <c r="AJ202" s="1083">
        <f t="shared" si="72"/>
        <v>0</v>
      </c>
      <c r="AK202" s="1083">
        <f t="shared" si="73"/>
        <v>0</v>
      </c>
      <c r="AL202" s="1083">
        <f t="shared" si="74"/>
        <v>0</v>
      </c>
      <c r="AM202" s="1084">
        <f t="shared" si="75"/>
        <v>0</v>
      </c>
      <c r="AN202" s="1140"/>
      <c r="AO202" s="1034"/>
      <c r="AS202" s="513"/>
      <c r="AT202" s="513"/>
      <c r="AU202" s="513"/>
      <c r="AV202" s="513"/>
    </row>
    <row r="203" spans="2:55" ht="15.75" x14ac:dyDescent="0.25">
      <c r="B203" s="1034"/>
      <c r="C203" s="1135"/>
      <c r="D203" s="986" t="str">
        <f>$D$189</f>
        <v>Biodiesel</v>
      </c>
      <c r="E203" s="1107">
        <f>E209</f>
        <v>1332849.3647912885</v>
      </c>
      <c r="F203" s="1107">
        <f>F209</f>
        <v>1332849.3647912885</v>
      </c>
      <c r="G203" s="1107">
        <f>G209</f>
        <v>1332849.3647912885</v>
      </c>
      <c r="H203" s="1107">
        <f>H209</f>
        <v>1332849.3647912885</v>
      </c>
      <c r="I203" s="1107">
        <f>I209</f>
        <v>1332849.3647912885</v>
      </c>
      <c r="J203" s="986" t="str">
        <f t="shared" si="63"/>
        <v>ICE Bio-methanol</v>
      </c>
      <c r="K203" s="1039">
        <v>1356729.5825771326</v>
      </c>
      <c r="L203" s="1039">
        <v>1356729.5825771326</v>
      </c>
      <c r="M203" s="1039">
        <v>1356729.5825771326</v>
      </c>
      <c r="N203" s="1039">
        <v>1356729.5825771326</v>
      </c>
      <c r="O203" s="1040">
        <v>1356729.5825771326</v>
      </c>
      <c r="P203" s="986" t="str">
        <f>$D$189</f>
        <v>Biodiesel</v>
      </c>
      <c r="Q203" s="1083">
        <f>E189*E203/1000000</f>
        <v>85.193793706927536</v>
      </c>
      <c r="R203" s="1083">
        <f>F189*F203/1000000</f>
        <v>1010.8409435595744</v>
      </c>
      <c r="S203" s="1083">
        <f>G189*G203/1000000</f>
        <v>1036.3981698076916</v>
      </c>
      <c r="T203" s="1083">
        <f>H189*H203/1000000</f>
        <v>1049.5081472404399</v>
      </c>
      <c r="U203" s="1084">
        <f>I189*I203/1000000</f>
        <v>1062.6181246731883</v>
      </c>
      <c r="V203" s="986" t="str">
        <f t="shared" si="64"/>
        <v>ICE Bio-methanol</v>
      </c>
      <c r="W203" s="1083">
        <f t="shared" si="65"/>
        <v>0</v>
      </c>
      <c r="X203" s="1083">
        <f t="shared" si="66"/>
        <v>0</v>
      </c>
      <c r="Y203" s="1083">
        <f t="shared" si="67"/>
        <v>0</v>
      </c>
      <c r="Z203" s="1083">
        <f t="shared" si="68"/>
        <v>0</v>
      </c>
      <c r="AA203" s="1084">
        <f t="shared" si="69"/>
        <v>0</v>
      </c>
      <c r="AB203" s="986" t="str">
        <f>$D$189</f>
        <v>Biodiesel</v>
      </c>
      <c r="AC203" s="1083">
        <f>-PMT($E$7,$G$7,Q203,0,0)</f>
        <v>8.0107335700866908</v>
      </c>
      <c r="AD203" s="1083">
        <f>-PMT($E$7,$G$7,R203,0,0)</f>
        <v>95.048912934280253</v>
      </c>
      <c r="AE203" s="1083">
        <f>-PMT($E$7,$G$7,S203,0,0)</f>
        <v>97.452047263153844</v>
      </c>
      <c r="AF203" s="1083">
        <f>-PMT($E$7,$G$7,T203,0,0)</f>
        <v>98.684772462419829</v>
      </c>
      <c r="AG203" s="1083">
        <f>-PMT($E$7,$G$7,U203,0,0)</f>
        <v>99.9174976616858</v>
      </c>
      <c r="AH203" s="986" t="str">
        <f t="shared" si="70"/>
        <v>ICE Bio-methanol</v>
      </c>
      <c r="AI203" s="1083">
        <f t="shared" si="71"/>
        <v>0</v>
      </c>
      <c r="AJ203" s="1083">
        <f t="shared" si="72"/>
        <v>0</v>
      </c>
      <c r="AK203" s="1083">
        <f t="shared" si="73"/>
        <v>0</v>
      </c>
      <c r="AL203" s="1083">
        <f t="shared" si="74"/>
        <v>0</v>
      </c>
      <c r="AM203" s="1084">
        <f t="shared" si="75"/>
        <v>0</v>
      </c>
      <c r="AN203" s="1140"/>
      <c r="AO203" s="1034"/>
      <c r="AR203" s="513"/>
      <c r="AS203" s="513"/>
      <c r="AT203" s="513"/>
      <c r="AU203" s="513"/>
    </row>
    <row r="204" spans="2:55" ht="15.75" x14ac:dyDescent="0.25">
      <c r="B204" s="1034"/>
      <c r="C204" s="1135"/>
      <c r="D204" s="986"/>
      <c r="E204" s="1081"/>
      <c r="F204" s="1081"/>
      <c r="G204" s="1081"/>
      <c r="H204" s="1081"/>
      <c r="I204" s="1081"/>
      <c r="J204" s="986" t="str">
        <f t="shared" si="63"/>
        <v>ICE Hybrid Bio-methanol</v>
      </c>
      <c r="K204" s="1001">
        <f>K201*0.73+K203*0.27</f>
        <v>1540379.5644283122</v>
      </c>
      <c r="L204" s="1001">
        <f>L201*0.73+L203*0.27</f>
        <v>1319026.6061705989</v>
      </c>
      <c r="M204" s="1001">
        <f>M201*0.73+M203*0.27</f>
        <v>1319026.6061705989</v>
      </c>
      <c r="N204" s="1001">
        <f>N201*0.73+N203*0.27</f>
        <v>1319026.6061705989</v>
      </c>
      <c r="O204" s="1002">
        <f>O201*0.73+O203*0.27</f>
        <v>1319026.6061705989</v>
      </c>
      <c r="P204" s="986"/>
      <c r="Q204" s="1101"/>
      <c r="R204" s="1101"/>
      <c r="S204" s="1101"/>
      <c r="T204" s="1101"/>
      <c r="U204" s="1102"/>
      <c r="V204" s="986" t="str">
        <f t="shared" si="64"/>
        <v>ICE Hybrid Bio-methanol</v>
      </c>
      <c r="W204" s="1083">
        <f t="shared" si="65"/>
        <v>0</v>
      </c>
      <c r="X204" s="1083">
        <f t="shared" si="66"/>
        <v>0</v>
      </c>
      <c r="Y204" s="1083">
        <f t="shared" si="67"/>
        <v>0</v>
      </c>
      <c r="Z204" s="1083">
        <f t="shared" si="68"/>
        <v>0</v>
      </c>
      <c r="AA204" s="1084">
        <f t="shared" si="69"/>
        <v>0</v>
      </c>
      <c r="AB204" s="986"/>
      <c r="AC204" s="1101"/>
      <c r="AD204" s="1101"/>
      <c r="AE204" s="1101"/>
      <c r="AF204" s="1101"/>
      <c r="AG204" s="1102"/>
      <c r="AH204" s="986" t="str">
        <f t="shared" si="70"/>
        <v>ICE Hybrid Bio-methanol</v>
      </c>
      <c r="AI204" s="1083">
        <f t="shared" si="71"/>
        <v>0</v>
      </c>
      <c r="AJ204" s="1083">
        <f t="shared" si="72"/>
        <v>0</v>
      </c>
      <c r="AK204" s="1083">
        <f t="shared" si="73"/>
        <v>0</v>
      </c>
      <c r="AL204" s="1083">
        <f t="shared" si="74"/>
        <v>0</v>
      </c>
      <c r="AM204" s="1084">
        <f t="shared" si="75"/>
        <v>0</v>
      </c>
      <c r="AN204" s="1140"/>
      <c r="AO204" s="1034"/>
      <c r="AR204" s="513"/>
      <c r="AS204" s="513"/>
      <c r="AT204" s="513"/>
      <c r="AU204" s="513"/>
    </row>
    <row r="205" spans="2:55" ht="15.75" x14ac:dyDescent="0.25">
      <c r="B205" s="1034"/>
      <c r="C205" s="1135"/>
      <c r="D205" s="986"/>
      <c r="E205" s="1081"/>
      <c r="F205" s="1081"/>
      <c r="G205" s="1081"/>
      <c r="H205" s="1081"/>
      <c r="I205" s="1081"/>
      <c r="J205" s="986" t="str">
        <f t="shared" si="63"/>
        <v>ICE Syn-methanol</v>
      </c>
      <c r="K205" s="1037">
        <f t="shared" ref="K205:O206" si="76">K203</f>
        <v>1356729.5825771326</v>
      </c>
      <c r="L205" s="1037">
        <f t="shared" si="76"/>
        <v>1356729.5825771326</v>
      </c>
      <c r="M205" s="1037">
        <f t="shared" si="76"/>
        <v>1356729.5825771326</v>
      </c>
      <c r="N205" s="1037">
        <f t="shared" si="76"/>
        <v>1356729.5825771326</v>
      </c>
      <c r="O205" s="1038">
        <f t="shared" si="76"/>
        <v>1356729.5825771326</v>
      </c>
      <c r="P205" s="986"/>
      <c r="Q205" s="1101"/>
      <c r="R205" s="1101"/>
      <c r="S205" s="1101"/>
      <c r="T205" s="1101"/>
      <c r="U205" s="1102"/>
      <c r="V205" s="986" t="str">
        <f t="shared" si="64"/>
        <v>ICE Syn-methanol</v>
      </c>
      <c r="W205" s="1083">
        <f t="shared" si="65"/>
        <v>0</v>
      </c>
      <c r="X205" s="1083">
        <f t="shared" si="66"/>
        <v>0</v>
      </c>
      <c r="Y205" s="1083">
        <f t="shared" si="67"/>
        <v>0</v>
      </c>
      <c r="Z205" s="1083">
        <f t="shared" si="68"/>
        <v>0</v>
      </c>
      <c r="AA205" s="1084">
        <f t="shared" si="69"/>
        <v>0</v>
      </c>
      <c r="AB205" s="986"/>
      <c r="AC205" s="1101"/>
      <c r="AD205" s="1101"/>
      <c r="AE205" s="1101"/>
      <c r="AF205" s="1101"/>
      <c r="AG205" s="1102"/>
      <c r="AH205" s="986" t="str">
        <f t="shared" si="70"/>
        <v>ICE Syn-methanol</v>
      </c>
      <c r="AI205" s="1083">
        <f t="shared" si="71"/>
        <v>0</v>
      </c>
      <c r="AJ205" s="1083">
        <f t="shared" si="72"/>
        <v>0</v>
      </c>
      <c r="AK205" s="1083">
        <f t="shared" si="73"/>
        <v>0</v>
      </c>
      <c r="AL205" s="1083">
        <f t="shared" si="74"/>
        <v>0</v>
      </c>
      <c r="AM205" s="1084">
        <f t="shared" si="75"/>
        <v>0</v>
      </c>
      <c r="AN205" s="1140"/>
      <c r="AO205" s="1034"/>
      <c r="AR205" s="513"/>
      <c r="AS205" s="513"/>
      <c r="AT205" s="513"/>
      <c r="AU205" s="513"/>
    </row>
    <row r="206" spans="2:55" ht="15.75" x14ac:dyDescent="0.25">
      <c r="B206" s="1034"/>
      <c r="C206" s="1135"/>
      <c r="D206" s="986"/>
      <c r="E206" s="1081"/>
      <c r="F206" s="1081"/>
      <c r="G206" s="1081"/>
      <c r="H206" s="1081"/>
      <c r="I206" s="1081"/>
      <c r="J206" s="986" t="str">
        <f t="shared" si="63"/>
        <v>ICE Hybrid Syn-methanol</v>
      </c>
      <c r="K206" s="1001">
        <f t="shared" si="76"/>
        <v>1540379.5644283122</v>
      </c>
      <c r="L206" s="1001">
        <f t="shared" si="76"/>
        <v>1319026.6061705989</v>
      </c>
      <c r="M206" s="1001">
        <f t="shared" si="76"/>
        <v>1319026.6061705989</v>
      </c>
      <c r="N206" s="1001">
        <f t="shared" si="76"/>
        <v>1319026.6061705989</v>
      </c>
      <c r="O206" s="1002">
        <f t="shared" si="76"/>
        <v>1319026.6061705989</v>
      </c>
      <c r="P206" s="986"/>
      <c r="Q206" s="1101"/>
      <c r="R206" s="1101"/>
      <c r="S206" s="1101"/>
      <c r="T206" s="1101"/>
      <c r="U206" s="1102"/>
      <c r="V206" s="986" t="str">
        <f t="shared" si="64"/>
        <v>ICE Hybrid Syn-methanol</v>
      </c>
      <c r="W206" s="1083">
        <f t="shared" si="65"/>
        <v>0</v>
      </c>
      <c r="X206" s="1083">
        <f t="shared" si="66"/>
        <v>0</v>
      </c>
      <c r="Y206" s="1083">
        <f t="shared" si="67"/>
        <v>0</v>
      </c>
      <c r="Z206" s="1083">
        <f t="shared" si="68"/>
        <v>0</v>
      </c>
      <c r="AA206" s="1084">
        <f t="shared" si="69"/>
        <v>0</v>
      </c>
      <c r="AB206" s="986"/>
      <c r="AC206" s="1101"/>
      <c r="AD206" s="1101"/>
      <c r="AE206" s="1101"/>
      <c r="AF206" s="1101"/>
      <c r="AG206" s="1102"/>
      <c r="AH206" s="986" t="str">
        <f t="shared" si="70"/>
        <v>ICE Hybrid Syn-methanol</v>
      </c>
      <c r="AI206" s="1083">
        <f t="shared" si="71"/>
        <v>0</v>
      </c>
      <c r="AJ206" s="1083">
        <f t="shared" si="72"/>
        <v>0</v>
      </c>
      <c r="AK206" s="1083">
        <f t="shared" si="73"/>
        <v>0</v>
      </c>
      <c r="AL206" s="1083">
        <f t="shared" si="74"/>
        <v>0</v>
      </c>
      <c r="AM206" s="1084">
        <f t="shared" si="75"/>
        <v>0</v>
      </c>
      <c r="AN206" s="1140"/>
      <c r="AO206" s="1034"/>
      <c r="AZ206" s="513"/>
      <c r="BA206" s="513"/>
      <c r="BB206" s="513"/>
      <c r="BC206" s="513"/>
    </row>
    <row r="207" spans="2:55" ht="15.75" x14ac:dyDescent="0.25">
      <c r="B207" s="1034"/>
      <c r="C207" s="1135"/>
      <c r="D207" s="986"/>
      <c r="E207" s="1081"/>
      <c r="F207" s="1081"/>
      <c r="G207" s="1081"/>
      <c r="H207" s="1081"/>
      <c r="I207" s="1081"/>
      <c r="J207" s="986" t="str">
        <f t="shared" si="63"/>
        <v>ICE Hybrid Diesel</v>
      </c>
      <c r="K207" s="1001">
        <f>K201*0.73+K209*0.27</f>
        <v>1533931.9056261342</v>
      </c>
      <c r="L207" s="1001">
        <f>L201*0.73+L205*0.27</f>
        <v>1319026.6061705989</v>
      </c>
      <c r="M207" s="1001">
        <f>M201*0.73+M205*0.27</f>
        <v>1319026.6061705989</v>
      </c>
      <c r="N207" s="1001">
        <f>N201*0.73+N205*0.27</f>
        <v>1319026.6061705989</v>
      </c>
      <c r="O207" s="1002">
        <f>O201*0.73+O205*0.27</f>
        <v>1319026.6061705989</v>
      </c>
      <c r="P207" s="986"/>
      <c r="Q207" s="1101"/>
      <c r="R207" s="1101"/>
      <c r="S207" s="1101"/>
      <c r="T207" s="1101"/>
      <c r="U207" s="1102"/>
      <c r="V207" s="986" t="str">
        <f t="shared" si="64"/>
        <v>ICE Hybrid Diesel</v>
      </c>
      <c r="W207" s="1083">
        <f t="shared" si="65"/>
        <v>0</v>
      </c>
      <c r="X207" s="1083">
        <f t="shared" si="66"/>
        <v>0</v>
      </c>
      <c r="Y207" s="1083">
        <f t="shared" si="67"/>
        <v>0</v>
      </c>
      <c r="Z207" s="1083">
        <f t="shared" si="68"/>
        <v>0</v>
      </c>
      <c r="AA207" s="1084">
        <f t="shared" si="69"/>
        <v>0</v>
      </c>
      <c r="AB207" s="986"/>
      <c r="AC207" s="1101"/>
      <c r="AD207" s="1101"/>
      <c r="AE207" s="1101"/>
      <c r="AF207" s="1101"/>
      <c r="AG207" s="1102"/>
      <c r="AH207" s="986" t="str">
        <f t="shared" si="70"/>
        <v>ICE Hybrid Diesel</v>
      </c>
      <c r="AI207" s="1083">
        <f t="shared" si="71"/>
        <v>0</v>
      </c>
      <c r="AJ207" s="1083">
        <f t="shared" si="72"/>
        <v>0</v>
      </c>
      <c r="AK207" s="1083">
        <f t="shared" si="73"/>
        <v>0</v>
      </c>
      <c r="AL207" s="1083">
        <f t="shared" si="74"/>
        <v>0</v>
      </c>
      <c r="AM207" s="1084">
        <f t="shared" si="75"/>
        <v>0</v>
      </c>
      <c r="AN207" s="1140"/>
      <c r="AO207" s="1034"/>
      <c r="AZ207" s="513"/>
      <c r="BA207" s="513"/>
      <c r="BB207" s="513"/>
      <c r="BC207" s="513"/>
    </row>
    <row r="208" spans="2:55" ht="15.75" x14ac:dyDescent="0.25">
      <c r="B208" s="1034"/>
      <c r="C208" s="1135"/>
      <c r="D208" s="986"/>
      <c r="E208" s="1081"/>
      <c r="F208" s="1081"/>
      <c r="G208" s="1081"/>
      <c r="H208" s="1081"/>
      <c r="I208" s="1081"/>
      <c r="J208" s="986" t="s">
        <v>483</v>
      </c>
      <c r="K208" s="1001">
        <f>E209</f>
        <v>1332849.3647912885</v>
      </c>
      <c r="L208" s="1001">
        <f t="shared" ref="L208:O208" si="77">F209</f>
        <v>1332849.3647912885</v>
      </c>
      <c r="M208" s="1001">
        <f t="shared" si="77"/>
        <v>1332849.3647912885</v>
      </c>
      <c r="N208" s="1001">
        <f t="shared" si="77"/>
        <v>1332849.3647912885</v>
      </c>
      <c r="O208" s="1002">
        <f t="shared" si="77"/>
        <v>1332849.3647912885</v>
      </c>
      <c r="P208" s="986"/>
      <c r="Q208" s="1101"/>
      <c r="R208" s="1101"/>
      <c r="S208" s="1101"/>
      <c r="T208" s="1101"/>
      <c r="U208" s="1102"/>
      <c r="V208" s="986" t="s">
        <v>483</v>
      </c>
      <c r="W208" s="1083">
        <f t="shared" si="65"/>
        <v>0</v>
      </c>
      <c r="X208" s="1083">
        <f t="shared" si="66"/>
        <v>0</v>
      </c>
      <c r="Y208" s="1083">
        <f t="shared" si="67"/>
        <v>0</v>
      </c>
      <c r="Z208" s="1083">
        <f t="shared" si="68"/>
        <v>0</v>
      </c>
      <c r="AA208" s="1084">
        <f t="shared" si="69"/>
        <v>0</v>
      </c>
      <c r="AB208" s="986"/>
      <c r="AC208" s="1101"/>
      <c r="AD208" s="1101"/>
      <c r="AE208" s="1101"/>
      <c r="AF208" s="1101"/>
      <c r="AG208" s="1101"/>
      <c r="AH208" s="986" t="s">
        <v>483</v>
      </c>
      <c r="AI208" s="1083">
        <f t="shared" ref="AI208" si="78">-PMT($E$7,$G$7,W208,0,0)</f>
        <v>0</v>
      </c>
      <c r="AJ208" s="1083">
        <f t="shared" ref="AJ208" si="79">-PMT($E$7,$G$7,X208,0,0)</f>
        <v>0</v>
      </c>
      <c r="AK208" s="1083">
        <f t="shared" ref="AK208" si="80">-PMT($E$7,$G$7,Y208,0,0)</f>
        <v>0</v>
      </c>
      <c r="AL208" s="1083">
        <f t="shared" ref="AL208" si="81">-PMT($E$7,$G$7,Z208,0,0)</f>
        <v>0</v>
      </c>
      <c r="AM208" s="1084">
        <f t="shared" ref="AM208" si="82">-PMT($E$7,$G$7,AA208,0,0)</f>
        <v>0</v>
      </c>
      <c r="AN208" s="1140"/>
      <c r="AO208" s="1034"/>
      <c r="AZ208" s="513"/>
      <c r="BA208" s="513"/>
      <c r="BB208" s="513"/>
      <c r="BC208" s="513"/>
    </row>
    <row r="209" spans="2:55" ht="15.75" x14ac:dyDescent="0.25">
      <c r="B209" s="1034"/>
      <c r="C209" s="1135"/>
      <c r="D209" s="986" t="str">
        <f>$D$192</f>
        <v>Diesel</v>
      </c>
      <c r="E209" s="1083">
        <v>1332849.3647912885</v>
      </c>
      <c r="F209" s="1083">
        <v>1332849.3647912885</v>
      </c>
      <c r="G209" s="1083">
        <v>1332849.3647912885</v>
      </c>
      <c r="H209" s="1083">
        <v>1332849.3647912885</v>
      </c>
      <c r="I209" s="1083">
        <v>1332849.3647912885</v>
      </c>
      <c r="J209" s="986" t="str">
        <f t="shared" ref="J209" si="83">J195</f>
        <v>ICE Diesel</v>
      </c>
      <c r="K209" s="1037">
        <f>E209</f>
        <v>1332849.3647912885</v>
      </c>
      <c r="L209" s="1037">
        <f>F209</f>
        <v>1332849.3647912885</v>
      </c>
      <c r="M209" s="1037">
        <f>G209</f>
        <v>1332849.3647912885</v>
      </c>
      <c r="N209" s="1037">
        <f>H209</f>
        <v>1332849.3647912885</v>
      </c>
      <c r="O209" s="1038">
        <f>I209</f>
        <v>1332849.3647912885</v>
      </c>
      <c r="P209" s="986" t="str">
        <f>$D$192</f>
        <v>Diesel</v>
      </c>
      <c r="Q209" s="1083">
        <f>E192*E209/1000000</f>
        <v>19253.117640049877</v>
      </c>
      <c r="R209" s="1083">
        <f>F192*F209/1000000</f>
        <v>18816.392721239215</v>
      </c>
      <c r="S209" s="1083">
        <f>G192*G209/1000000</f>
        <v>19292.130085276633</v>
      </c>
      <c r="T209" s="1083">
        <f>H192*H209/1000000</f>
        <v>19536.166979026217</v>
      </c>
      <c r="U209" s="1084">
        <f>I192*I209/1000000</f>
        <v>19780.203872775797</v>
      </c>
      <c r="V209" s="986" t="str">
        <f>J195</f>
        <v>ICE Diesel</v>
      </c>
      <c r="W209" s="1083">
        <f t="shared" si="65"/>
        <v>0</v>
      </c>
      <c r="X209" s="1083">
        <f t="shared" si="66"/>
        <v>0</v>
      </c>
      <c r="Y209" s="1083">
        <f t="shared" si="67"/>
        <v>0</v>
      </c>
      <c r="Z209" s="1083">
        <f t="shared" si="68"/>
        <v>0</v>
      </c>
      <c r="AA209" s="1084">
        <f t="shared" si="69"/>
        <v>0</v>
      </c>
      <c r="AB209" s="986" t="str">
        <f>$D$192</f>
        <v>Diesel</v>
      </c>
      <c r="AC209" s="1083">
        <f>-PMT($E$7,$G$7,Q209,0,0)</f>
        <v>1810.3618714121712</v>
      </c>
      <c r="AD209" s="1083">
        <f>-PMT($E$7,$G$7,R209,0,0)</f>
        <v>1769.2968264624772</v>
      </c>
      <c r="AE209" s="1083">
        <f>-PMT($E$7,$G$7,S209,0,0)</f>
        <v>1814.0301938454254</v>
      </c>
      <c r="AF209" s="1083">
        <f>-PMT($E$7,$G$7,T209,0,0)</f>
        <v>1836.9768716729734</v>
      </c>
      <c r="AG209" s="1083">
        <f>-PMT($E$7,$G$7,U209,0,0)</f>
        <v>1859.9235495005214</v>
      </c>
      <c r="AH209" s="986" t="str">
        <f t="shared" si="70"/>
        <v>ICE Diesel</v>
      </c>
      <c r="AI209" s="1083">
        <f t="shared" si="71"/>
        <v>0</v>
      </c>
      <c r="AJ209" s="1083">
        <f t="shared" si="72"/>
        <v>0</v>
      </c>
      <c r="AK209" s="1083">
        <f t="shared" si="73"/>
        <v>0</v>
      </c>
      <c r="AL209" s="1083">
        <f t="shared" si="74"/>
        <v>0</v>
      </c>
      <c r="AM209" s="1084">
        <f t="shared" si="75"/>
        <v>0</v>
      </c>
      <c r="AN209" s="1140"/>
      <c r="AO209" s="1034"/>
      <c r="AZ209" s="513"/>
      <c r="BA209" s="513"/>
      <c r="BB209" s="513"/>
      <c r="BC209" s="513"/>
    </row>
    <row r="210" spans="2:55" ht="16.5" thickBot="1" x14ac:dyDescent="0.3">
      <c r="B210" s="1034"/>
      <c r="C210" s="1135"/>
      <c r="D210" s="994"/>
      <c r="E210" s="1085"/>
      <c r="F210" s="1085"/>
      <c r="G210" s="1085"/>
      <c r="H210" s="1085"/>
      <c r="I210" s="1085"/>
      <c r="J210" s="994" t="s">
        <v>93</v>
      </c>
      <c r="K210" s="1051">
        <f>Q211/E196*1000000</f>
        <v>1332849.3647912885</v>
      </c>
      <c r="L210" s="1051">
        <f>R211/F196*1000000</f>
        <v>1332849.3647912885</v>
      </c>
      <c r="M210" s="1051">
        <f>S211/G196*1000000</f>
        <v>1332849.3647912885</v>
      </c>
      <c r="N210" s="1051">
        <f>T211/H196*1000000</f>
        <v>1332849.3647912885</v>
      </c>
      <c r="O210" s="1052">
        <f>U211/I196*1000000</f>
        <v>1332849.3647912883</v>
      </c>
      <c r="P210" s="994"/>
      <c r="Q210" s="1103"/>
      <c r="R210" s="1103"/>
      <c r="S210" s="1103"/>
      <c r="T210" s="1103"/>
      <c r="U210" s="1104"/>
      <c r="V210" s="994" t="str">
        <f>J196</f>
        <v>No shift in technology / ICE Diesel</v>
      </c>
      <c r="W210" s="1091">
        <f t="shared" si="65"/>
        <v>19338.311433756804</v>
      </c>
      <c r="X210" s="1091">
        <f t="shared" si="66"/>
        <v>19827.23366479879</v>
      </c>
      <c r="Y210" s="1091">
        <f t="shared" si="67"/>
        <v>20328.528255084322</v>
      </c>
      <c r="Z210" s="1091">
        <f t="shared" si="68"/>
        <v>20585.675126266658</v>
      </c>
      <c r="AA210" s="1092">
        <f t="shared" si="69"/>
        <v>20842.821997448988</v>
      </c>
      <c r="AB210" s="994"/>
      <c r="AC210" s="1103"/>
      <c r="AD210" s="1103"/>
      <c r="AE210" s="1103"/>
      <c r="AF210" s="1103"/>
      <c r="AG210" s="1104"/>
      <c r="AH210" s="994" t="str">
        <f t="shared" si="70"/>
        <v>No shift in technology / ICE Diesel</v>
      </c>
      <c r="AI210" s="1091">
        <f t="shared" si="71"/>
        <v>1818.3726049822578</v>
      </c>
      <c r="AJ210" s="1091">
        <f t="shared" si="72"/>
        <v>1864.3457393967574</v>
      </c>
      <c r="AK210" s="1091">
        <f t="shared" si="73"/>
        <v>1911.4822411085788</v>
      </c>
      <c r="AL210" s="1091">
        <f t="shared" si="74"/>
        <v>1935.6616441353935</v>
      </c>
      <c r="AM210" s="1092">
        <f t="shared" si="75"/>
        <v>1959.8410471622074</v>
      </c>
      <c r="AN210" s="1140"/>
      <c r="AO210" s="1034"/>
      <c r="AZ210" s="513"/>
      <c r="BA210" s="513"/>
      <c r="BB210" s="513"/>
      <c r="BC210" s="513"/>
    </row>
    <row r="211" spans="2:55" ht="17.25" thickTop="1" thickBot="1" x14ac:dyDescent="0.3">
      <c r="B211" s="1034"/>
      <c r="C211" s="1135"/>
      <c r="D211" s="996"/>
      <c r="E211" s="1087"/>
      <c r="F211" s="1087"/>
      <c r="G211" s="1087"/>
      <c r="H211" s="1087"/>
      <c r="I211" s="1087"/>
      <c r="J211" s="996"/>
      <c r="K211" s="997"/>
      <c r="L211" s="997"/>
      <c r="M211" s="997"/>
      <c r="N211" s="997"/>
      <c r="O211" s="998"/>
      <c r="P211" s="996" t="s">
        <v>60</v>
      </c>
      <c r="Q211" s="1087">
        <f>SUM(Q201:Q210)</f>
        <v>19338.311433756804</v>
      </c>
      <c r="R211" s="1087">
        <f>SUM(R201:R210)</f>
        <v>19827.23366479879</v>
      </c>
      <c r="S211" s="1087">
        <f>SUM(S201:S210)</f>
        <v>20328.528255084326</v>
      </c>
      <c r="T211" s="1087">
        <f>SUM(T201:T210)</f>
        <v>20585.675126266658</v>
      </c>
      <c r="U211" s="1088">
        <f>SUM(U201:U210)</f>
        <v>20842.821997448984</v>
      </c>
      <c r="V211" s="996" t="s">
        <v>60</v>
      </c>
      <c r="W211" s="1087">
        <f>SUM(W201:W210)</f>
        <v>19338.311433756804</v>
      </c>
      <c r="X211" s="1087">
        <f>SUM(X201:X210)</f>
        <v>19827.23366479879</v>
      </c>
      <c r="Y211" s="1087">
        <f>SUM(Y201:Y210)</f>
        <v>20328.528255084322</v>
      </c>
      <c r="Z211" s="1087">
        <f>SUM(Z201:Z210)</f>
        <v>20585.675126266658</v>
      </c>
      <c r="AA211" s="1088">
        <f>SUM(AA201:AA210)</f>
        <v>20842.821997448988</v>
      </c>
      <c r="AB211" s="996" t="s">
        <v>60</v>
      </c>
      <c r="AC211" s="1087">
        <f>SUM(AC201:AC210)</f>
        <v>1818.3726049822578</v>
      </c>
      <c r="AD211" s="1087">
        <f>SUM(AD201:AD210)</f>
        <v>1864.3457393967574</v>
      </c>
      <c r="AE211" s="1087">
        <f>SUM(AE201:AE210)</f>
        <v>1911.4822411085793</v>
      </c>
      <c r="AF211" s="1087">
        <f>SUM(AF201:AF210)</f>
        <v>1935.6616441353933</v>
      </c>
      <c r="AG211" s="1088">
        <f>SUM(AG201:AG210)</f>
        <v>1959.8410471622071</v>
      </c>
      <c r="AH211" s="996" t="s">
        <v>60</v>
      </c>
      <c r="AI211" s="1087">
        <f>SUM(AI201:AI210)</f>
        <v>1818.3726049822578</v>
      </c>
      <c r="AJ211" s="1087">
        <f>SUM(AJ201:AJ210)</f>
        <v>1864.3457393967574</v>
      </c>
      <c r="AK211" s="1087">
        <f>SUM(AK201:AK210)</f>
        <v>1911.4822411085788</v>
      </c>
      <c r="AL211" s="1087">
        <f>SUM(AL201:AL210)</f>
        <v>1935.6616441353935</v>
      </c>
      <c r="AM211" s="1088">
        <f>SUM(AM201:AM210)</f>
        <v>1959.8410471622074</v>
      </c>
      <c r="AN211" s="1140"/>
      <c r="AO211" s="1034"/>
      <c r="AY211" s="513"/>
      <c r="AZ211" s="513"/>
      <c r="BA211" s="513"/>
      <c r="BB211" s="513"/>
    </row>
    <row r="212" spans="2:55" x14ac:dyDescent="0.25">
      <c r="B212" s="1034"/>
      <c r="C212" s="1135"/>
      <c r="D212" s="1135"/>
      <c r="E212" s="1135"/>
      <c r="F212" s="1135"/>
      <c r="G212" s="1135"/>
      <c r="H212" s="1135"/>
      <c r="I212" s="1135"/>
      <c r="J212" s="1135"/>
      <c r="K212" s="1135"/>
      <c r="L212" s="1135"/>
      <c r="M212" s="1135"/>
      <c r="N212" s="1135"/>
      <c r="O212" s="1135"/>
      <c r="P212" s="1135"/>
      <c r="Q212" s="1135"/>
      <c r="R212" s="1135"/>
      <c r="S212" s="1135"/>
      <c r="T212" s="1135"/>
      <c r="U212" s="1135"/>
      <c r="V212" s="1135"/>
      <c r="W212" s="1135"/>
      <c r="X212" s="1135"/>
      <c r="Y212" s="1135"/>
      <c r="Z212" s="1135"/>
      <c r="AA212" s="1135"/>
      <c r="AB212" s="1135"/>
      <c r="AC212" s="1135"/>
      <c r="AD212" s="1135"/>
      <c r="AE212" s="1135"/>
      <c r="AF212" s="1135"/>
      <c r="AG212" s="1135"/>
      <c r="AH212" s="1135"/>
      <c r="AI212" s="1135"/>
      <c r="AJ212" s="1135"/>
      <c r="AK212" s="1135"/>
      <c r="AL212" s="1135"/>
      <c r="AM212" s="1135"/>
      <c r="AN212" s="1135"/>
      <c r="AO212" s="1034"/>
      <c r="AY212" s="513"/>
      <c r="AZ212" s="513"/>
      <c r="BA212" s="513"/>
      <c r="BB212" s="513"/>
    </row>
    <row r="213" spans="2:55" ht="15.75" thickBot="1" x14ac:dyDescent="0.3">
      <c r="B213" s="1034"/>
      <c r="C213" s="1135"/>
      <c r="D213" s="1135"/>
      <c r="E213" s="1135"/>
      <c r="F213" s="1135"/>
      <c r="G213" s="1135"/>
      <c r="H213" s="1135"/>
      <c r="I213" s="1135"/>
      <c r="J213" s="1135"/>
      <c r="K213" s="1135"/>
      <c r="L213" s="1135"/>
      <c r="M213" s="1135"/>
      <c r="N213" s="1135"/>
      <c r="O213" s="1135"/>
      <c r="P213" s="1135"/>
      <c r="Q213" s="1135"/>
      <c r="R213" s="1135"/>
      <c r="S213" s="1135"/>
      <c r="T213" s="1135"/>
      <c r="U213" s="1135"/>
      <c r="V213" s="1135"/>
      <c r="W213" s="1135"/>
      <c r="X213" s="1135"/>
      <c r="Y213" s="1135"/>
      <c r="Z213" s="1135"/>
      <c r="AA213" s="1135"/>
      <c r="AB213" s="1135"/>
      <c r="AC213" s="1135"/>
      <c r="AD213" s="1135"/>
      <c r="AE213" s="1135"/>
      <c r="AF213" s="1135"/>
      <c r="AG213" s="1135"/>
      <c r="AH213" s="1135"/>
      <c r="AI213" s="1135"/>
      <c r="AJ213" s="1135"/>
      <c r="AK213" s="1135"/>
      <c r="AL213" s="1135"/>
      <c r="AM213" s="1135"/>
      <c r="AN213" s="1135"/>
      <c r="AO213" s="1034"/>
      <c r="AY213" s="513"/>
      <c r="AZ213" s="513"/>
      <c r="BA213" s="513"/>
      <c r="BB213" s="513"/>
    </row>
    <row r="214" spans="2:55" x14ac:dyDescent="0.25">
      <c r="B214" s="1034"/>
      <c r="C214" s="1135"/>
      <c r="D214" s="2020" t="s">
        <v>183</v>
      </c>
      <c r="E214" s="2021">
        <v>2010</v>
      </c>
      <c r="F214" s="2021">
        <v>2020</v>
      </c>
      <c r="G214" s="2021">
        <v>2030</v>
      </c>
      <c r="H214" s="2021">
        <v>2040</v>
      </c>
      <c r="I214" s="2022">
        <v>2050</v>
      </c>
      <c r="J214" s="2017" t="s">
        <v>183</v>
      </c>
      <c r="K214" s="2018">
        <v>2010</v>
      </c>
      <c r="L214" s="2018">
        <v>2020</v>
      </c>
      <c r="M214" s="2018">
        <v>2030</v>
      </c>
      <c r="N214" s="2018">
        <v>2040</v>
      </c>
      <c r="O214" s="2019">
        <v>2050</v>
      </c>
      <c r="P214" s="2020" t="s">
        <v>190</v>
      </c>
      <c r="Q214" s="2021">
        <v>2010</v>
      </c>
      <c r="R214" s="2021">
        <v>2020</v>
      </c>
      <c r="S214" s="2021">
        <v>2030</v>
      </c>
      <c r="T214" s="2021">
        <v>2040</v>
      </c>
      <c r="U214" s="2022">
        <v>2050</v>
      </c>
      <c r="V214" s="2017" t="s">
        <v>190</v>
      </c>
      <c r="W214" s="2018">
        <v>2010</v>
      </c>
      <c r="X214" s="2018">
        <v>2020</v>
      </c>
      <c r="Y214" s="2018">
        <v>2030</v>
      </c>
      <c r="Z214" s="2018">
        <v>2040</v>
      </c>
      <c r="AA214" s="2019">
        <v>2050</v>
      </c>
      <c r="AB214" s="1135"/>
      <c r="AC214" s="1135"/>
      <c r="AD214" s="1135"/>
      <c r="AE214" s="1135"/>
      <c r="AF214" s="1135"/>
      <c r="AG214" s="1135"/>
      <c r="AH214" s="1135"/>
      <c r="AI214" s="1135"/>
      <c r="AJ214" s="1135"/>
      <c r="AK214" s="1135"/>
      <c r="AL214" s="1135"/>
      <c r="AM214" s="1135"/>
      <c r="AN214" s="1135"/>
      <c r="AO214" s="1034"/>
      <c r="AY214" s="513"/>
      <c r="AZ214" s="513"/>
      <c r="BA214" s="513"/>
      <c r="BB214" s="513"/>
    </row>
    <row r="215" spans="2:55" ht="15.75" thickBot="1" x14ac:dyDescent="0.3">
      <c r="B215" s="1034"/>
      <c r="C215" s="1135"/>
      <c r="D215" s="971" t="s">
        <v>180</v>
      </c>
      <c r="E215" s="983">
        <v>2010</v>
      </c>
      <c r="F215" s="983">
        <v>2020</v>
      </c>
      <c r="G215" s="983">
        <v>2030</v>
      </c>
      <c r="H215" s="983">
        <v>2040</v>
      </c>
      <c r="I215" s="984">
        <v>2050</v>
      </c>
      <c r="J215" s="971" t="s">
        <v>180</v>
      </c>
      <c r="K215" s="983">
        <v>2010</v>
      </c>
      <c r="L215" s="983">
        <v>2020</v>
      </c>
      <c r="M215" s="983">
        <v>2030</v>
      </c>
      <c r="N215" s="983">
        <v>2040</v>
      </c>
      <c r="O215" s="984">
        <v>2050</v>
      </c>
      <c r="P215" s="971" t="s">
        <v>391</v>
      </c>
      <c r="Q215" s="983">
        <v>2010</v>
      </c>
      <c r="R215" s="983">
        <v>2020</v>
      </c>
      <c r="S215" s="983">
        <v>2030</v>
      </c>
      <c r="T215" s="983">
        <v>2040</v>
      </c>
      <c r="U215" s="984">
        <v>2050</v>
      </c>
      <c r="V215" s="971" t="s">
        <v>391</v>
      </c>
      <c r="W215" s="983">
        <v>2010</v>
      </c>
      <c r="X215" s="983">
        <v>2020</v>
      </c>
      <c r="Y215" s="983">
        <v>2030</v>
      </c>
      <c r="Z215" s="983">
        <v>2040</v>
      </c>
      <c r="AA215" s="984">
        <v>2050</v>
      </c>
      <c r="AB215" s="1135"/>
      <c r="AC215" s="1135"/>
      <c r="AD215" s="1135"/>
      <c r="AE215" s="1135"/>
      <c r="AF215" s="1135"/>
      <c r="AG215" s="1135"/>
      <c r="AH215" s="1135"/>
      <c r="AI215" s="1135"/>
      <c r="AJ215" s="1135"/>
      <c r="AK215" s="1135"/>
      <c r="AL215" s="1135"/>
      <c r="AM215" s="1135"/>
      <c r="AN215" s="1135"/>
      <c r="AO215" s="1034"/>
      <c r="AY215" s="513"/>
      <c r="AZ215" s="513"/>
      <c r="BA215" s="513"/>
      <c r="BB215" s="513"/>
    </row>
    <row r="216" spans="2:55" ht="15.75" x14ac:dyDescent="0.25">
      <c r="B216" s="1034"/>
      <c r="C216" s="1135"/>
      <c r="D216" s="1000"/>
      <c r="E216" s="968"/>
      <c r="F216" s="968"/>
      <c r="G216" s="968"/>
      <c r="H216" s="968"/>
      <c r="I216" s="968"/>
      <c r="J216" s="999" t="str">
        <f t="shared" ref="J216:J222" si="84">J201</f>
        <v>Battery electric busses</v>
      </c>
      <c r="K216" s="1041">
        <v>1.014004143646409E-2</v>
      </c>
      <c r="L216" s="1041">
        <v>1.2495982978723405E-2</v>
      </c>
      <c r="M216" s="1041">
        <v>1.2495982978723405E-2</v>
      </c>
      <c r="N216" s="1041">
        <v>1.2495982978723405E-2</v>
      </c>
      <c r="O216" s="1041">
        <v>1.2495982978723405E-2</v>
      </c>
      <c r="P216" s="1000"/>
      <c r="Q216" s="1099"/>
      <c r="R216" s="1099"/>
      <c r="S216" s="1099"/>
      <c r="T216" s="1099"/>
      <c r="U216" s="1099"/>
      <c r="V216" s="988" t="str">
        <f t="shared" ref="V216:V222" si="85">AH201</f>
        <v>Battery electric busses</v>
      </c>
      <c r="W216" s="1089">
        <f t="shared" ref="W216:W225" si="86">K216*W201</f>
        <v>0</v>
      </c>
      <c r="X216" s="1089">
        <f t="shared" ref="X216:X225" si="87">L216*X201</f>
        <v>0</v>
      </c>
      <c r="Y216" s="1089">
        <f t="shared" ref="Y216:Y225" si="88">M216*Y201</f>
        <v>0</v>
      </c>
      <c r="Z216" s="1089">
        <f t="shared" ref="Z216:Z225" si="89">N216*Z201</f>
        <v>0</v>
      </c>
      <c r="AA216" s="1090">
        <f t="shared" ref="AA216:AA225" si="90">O216*AA201</f>
        <v>0</v>
      </c>
      <c r="AB216" s="1135"/>
      <c r="AC216" s="1135"/>
      <c r="AD216" s="1135"/>
      <c r="AE216" s="1135"/>
      <c r="AF216" s="1135"/>
      <c r="AG216" s="1135"/>
      <c r="AH216" s="1135"/>
      <c r="AI216" s="1135"/>
      <c r="AJ216" s="1135"/>
      <c r="AK216" s="1135"/>
      <c r="AL216" s="1135"/>
      <c r="AM216" s="1135"/>
      <c r="AN216" s="1135"/>
      <c r="AO216" s="1034"/>
      <c r="AY216" s="513"/>
      <c r="AZ216" s="513"/>
      <c r="BA216" s="513"/>
      <c r="BB216" s="513"/>
    </row>
    <row r="217" spans="2:55" ht="15.75" x14ac:dyDescent="0.25">
      <c r="B217" s="1034"/>
      <c r="C217" s="1135"/>
      <c r="D217" s="986"/>
      <c r="E217" s="634"/>
      <c r="F217" s="634"/>
      <c r="G217" s="634"/>
      <c r="H217" s="634"/>
      <c r="I217" s="634"/>
      <c r="J217" s="986" t="str">
        <f t="shared" si="84"/>
        <v>Fuel cell hybrid busses (methanol/Synthetic fuel)</v>
      </c>
      <c r="K217" s="1014">
        <f>K224*((1+K95)/(1+K105))</f>
        <v>1.1592322732087341E-2</v>
      </c>
      <c r="L217" s="1014">
        <f>L224*((1+L95)/(1+L105))</f>
        <v>1.2070613890894972E-2</v>
      </c>
      <c r="M217" s="1014">
        <f>M224*((1+M95)/(1+M105))</f>
        <v>1.2070613890894972E-2</v>
      </c>
      <c r="N217" s="1014">
        <f>N224*((1+N95)/(1+N105))</f>
        <v>1.2070613890894972E-2</v>
      </c>
      <c r="O217" s="1015">
        <f>O224*((1+O95)/(1+O105))</f>
        <v>1.2070613890894972E-2</v>
      </c>
      <c r="P217" s="986"/>
      <c r="Q217" s="1081"/>
      <c r="R217" s="1081"/>
      <c r="S217" s="1081"/>
      <c r="T217" s="1081"/>
      <c r="U217" s="1081"/>
      <c r="V217" s="986" t="str">
        <f t="shared" si="85"/>
        <v>Fuel cell hybrid busses (methanol/Synthetic fuel)</v>
      </c>
      <c r="W217" s="1083">
        <f t="shared" si="86"/>
        <v>0</v>
      </c>
      <c r="X217" s="1083">
        <f t="shared" si="87"/>
        <v>0</v>
      </c>
      <c r="Y217" s="1083">
        <f t="shared" si="88"/>
        <v>0</v>
      </c>
      <c r="Z217" s="1083">
        <f t="shared" si="89"/>
        <v>0</v>
      </c>
      <c r="AA217" s="1084">
        <f t="shared" si="90"/>
        <v>0</v>
      </c>
      <c r="AB217" s="1135"/>
      <c r="AC217" s="1135"/>
      <c r="AD217" s="1135"/>
      <c r="AE217" s="1135"/>
      <c r="AF217" s="1135"/>
      <c r="AG217" s="1135"/>
      <c r="AH217" s="1135"/>
      <c r="AI217" s="1135"/>
      <c r="AJ217" s="1135"/>
      <c r="AK217" s="1135"/>
      <c r="AL217" s="1135"/>
      <c r="AM217" s="1135"/>
      <c r="AN217" s="1135"/>
      <c r="AO217" s="1034"/>
      <c r="AY217" s="513"/>
      <c r="AZ217" s="513"/>
      <c r="BA217" s="513"/>
      <c r="BB217" s="513"/>
    </row>
    <row r="218" spans="2:55" ht="15.75" x14ac:dyDescent="0.25">
      <c r="B218" s="1034"/>
      <c r="C218" s="1135"/>
      <c r="D218" s="986" t="str">
        <f>$D$189</f>
        <v>Biodiesel</v>
      </c>
      <c r="E218" s="1042">
        <v>1.2238516666666669E-2</v>
      </c>
      <c r="F218" s="1042">
        <v>1.2238516666666669E-2</v>
      </c>
      <c r="G218" s="1042">
        <v>1.2238516666666669E-2</v>
      </c>
      <c r="H218" s="1042">
        <v>1.2238516666666669E-2</v>
      </c>
      <c r="I218" s="1042">
        <v>1.2238516666666669E-2</v>
      </c>
      <c r="J218" s="986" t="str">
        <f t="shared" si="84"/>
        <v>ICE Bio-methanol</v>
      </c>
      <c r="K218" s="1014">
        <f>K224*((1+K97)/(1+K105))</f>
        <v>1.2238516666666669E-2</v>
      </c>
      <c r="L218" s="1014">
        <f>L224*((1+L97)/(1+L105))</f>
        <v>1.2084971543615817E-2</v>
      </c>
      <c r="M218" s="1014">
        <f>M224*((1+M97)/(1+M105))</f>
        <v>1.2084971543615817E-2</v>
      </c>
      <c r="N218" s="1014">
        <f>N224*((1+N97)/(1+N105))</f>
        <v>1.2084971543615817E-2</v>
      </c>
      <c r="O218" s="1015">
        <f>O224*((1+O97)/(1+O105))</f>
        <v>1.2084971543615817E-2</v>
      </c>
      <c r="P218" s="986" t="str">
        <f>$D$189</f>
        <v>Biodiesel</v>
      </c>
      <c r="Q218" s="1083">
        <f>E218*Q203</f>
        <v>1.0426456641787947</v>
      </c>
      <c r="R218" s="1083">
        <f>F218*R203</f>
        <v>12.371193735102914</v>
      </c>
      <c r="S218" s="1083">
        <f>G218*S203</f>
        <v>12.683976274494267</v>
      </c>
      <c r="T218" s="1083">
        <f>H218*T203</f>
        <v>12.844422951804582</v>
      </c>
      <c r="U218" s="1083">
        <f>I218*U203</f>
        <v>13.004869629114896</v>
      </c>
      <c r="V218" s="986" t="str">
        <f t="shared" si="85"/>
        <v>ICE Bio-methanol</v>
      </c>
      <c r="W218" s="1083">
        <f t="shared" si="86"/>
        <v>0</v>
      </c>
      <c r="X218" s="1083">
        <f t="shared" si="87"/>
        <v>0</v>
      </c>
      <c r="Y218" s="1083">
        <f t="shared" si="88"/>
        <v>0</v>
      </c>
      <c r="Z218" s="1083">
        <f t="shared" si="89"/>
        <v>0</v>
      </c>
      <c r="AA218" s="1084">
        <f t="shared" si="90"/>
        <v>0</v>
      </c>
      <c r="AB218" s="1135"/>
      <c r="AC218" s="1135"/>
      <c r="AD218" s="1135"/>
      <c r="AE218" s="1135"/>
      <c r="AF218" s="1135"/>
      <c r="AG218" s="1135"/>
      <c r="AH218" s="1135"/>
      <c r="AI218" s="1135"/>
      <c r="AJ218" s="1135"/>
      <c r="AK218" s="1135"/>
      <c r="AL218" s="1135"/>
      <c r="AM218" s="1135"/>
      <c r="AN218" s="1135"/>
      <c r="AO218" s="1034"/>
      <c r="AY218" s="513"/>
      <c r="AZ218" s="513"/>
      <c r="BA218" s="513"/>
      <c r="BB218" s="513"/>
    </row>
    <row r="219" spans="2:55" ht="15.75" x14ac:dyDescent="0.25">
      <c r="B219" s="1034"/>
      <c r="C219" s="1135"/>
      <c r="D219" s="986"/>
      <c r="E219" s="514"/>
      <c r="F219" s="514"/>
      <c r="G219" s="514"/>
      <c r="H219" s="514"/>
      <c r="I219" s="514"/>
      <c r="J219" s="986" t="str">
        <f t="shared" si="84"/>
        <v>ICE Hybrid Bio-methanol</v>
      </c>
      <c r="K219" s="1117">
        <f>K216*0.73+K218*0.27</f>
        <v>1.0706629748618787E-2</v>
      </c>
      <c r="L219" s="1117">
        <f>L216*0.73+L218*0.27</f>
        <v>1.2385009891244357E-2</v>
      </c>
      <c r="M219" s="1117">
        <f>M216*0.73+M218*0.27</f>
        <v>1.2385009891244357E-2</v>
      </c>
      <c r="N219" s="1117">
        <f>N216*0.73+N218*0.27</f>
        <v>1.2385009891244357E-2</v>
      </c>
      <c r="O219" s="1118">
        <f>O216*0.73+O218*0.27</f>
        <v>1.2385009891244357E-2</v>
      </c>
      <c r="P219" s="986"/>
      <c r="Q219" s="1101"/>
      <c r="R219" s="1101"/>
      <c r="S219" s="1101"/>
      <c r="T219" s="1101"/>
      <c r="U219" s="1101"/>
      <c r="V219" s="986" t="str">
        <f t="shared" si="85"/>
        <v>ICE Hybrid Bio-methanol</v>
      </c>
      <c r="W219" s="1083">
        <f t="shared" si="86"/>
        <v>0</v>
      </c>
      <c r="X219" s="1083">
        <f t="shared" si="87"/>
        <v>0</v>
      </c>
      <c r="Y219" s="1083">
        <f t="shared" si="88"/>
        <v>0</v>
      </c>
      <c r="Z219" s="1083">
        <f t="shared" si="89"/>
        <v>0</v>
      </c>
      <c r="AA219" s="1084">
        <f t="shared" si="90"/>
        <v>0</v>
      </c>
      <c r="AB219" s="1135"/>
      <c r="AC219" s="1135"/>
      <c r="AD219" s="1135"/>
      <c r="AE219" s="1135"/>
      <c r="AF219" s="1135"/>
      <c r="AG219" s="1135"/>
      <c r="AH219" s="1135"/>
      <c r="AI219" s="1135"/>
      <c r="AJ219" s="1135"/>
      <c r="AK219" s="1135"/>
      <c r="AL219" s="1135"/>
      <c r="AM219" s="1135"/>
      <c r="AN219" s="1135"/>
      <c r="AO219" s="1034"/>
      <c r="AY219" s="513"/>
      <c r="AZ219" s="513"/>
      <c r="BA219" s="513"/>
      <c r="BB219" s="513"/>
    </row>
    <row r="220" spans="2:55" ht="15.75" x14ac:dyDescent="0.25">
      <c r="B220" s="1034"/>
      <c r="C220" s="1135"/>
      <c r="D220" s="986"/>
      <c r="E220" s="514"/>
      <c r="F220" s="514"/>
      <c r="G220" s="514"/>
      <c r="H220" s="514"/>
      <c r="I220" s="514"/>
      <c r="J220" s="986" t="str">
        <f t="shared" si="84"/>
        <v>ICE Syn-methanol</v>
      </c>
      <c r="K220" s="1014">
        <f t="shared" ref="K220:O221" si="91">K218</f>
        <v>1.2238516666666669E-2</v>
      </c>
      <c r="L220" s="1014">
        <f t="shared" si="91"/>
        <v>1.2084971543615817E-2</v>
      </c>
      <c r="M220" s="1014">
        <f t="shared" si="91"/>
        <v>1.2084971543615817E-2</v>
      </c>
      <c r="N220" s="1014">
        <f t="shared" si="91"/>
        <v>1.2084971543615817E-2</v>
      </c>
      <c r="O220" s="1015">
        <f t="shared" si="91"/>
        <v>1.2084971543615817E-2</v>
      </c>
      <c r="P220" s="986"/>
      <c r="Q220" s="1101"/>
      <c r="R220" s="1101"/>
      <c r="S220" s="1101"/>
      <c r="T220" s="1101"/>
      <c r="U220" s="1101"/>
      <c r="V220" s="986" t="str">
        <f t="shared" si="85"/>
        <v>ICE Syn-methanol</v>
      </c>
      <c r="W220" s="1083">
        <f t="shared" si="86"/>
        <v>0</v>
      </c>
      <c r="X220" s="1083">
        <f t="shared" si="87"/>
        <v>0</v>
      </c>
      <c r="Y220" s="1083">
        <f t="shared" si="88"/>
        <v>0</v>
      </c>
      <c r="Z220" s="1083">
        <f t="shared" si="89"/>
        <v>0</v>
      </c>
      <c r="AA220" s="1084">
        <f t="shared" si="90"/>
        <v>0</v>
      </c>
      <c r="AB220" s="1135"/>
      <c r="AC220" s="1135"/>
      <c r="AD220" s="1135"/>
      <c r="AE220" s="1135"/>
      <c r="AF220" s="1135"/>
      <c r="AG220" s="1135"/>
      <c r="AH220" s="1135"/>
      <c r="AI220" s="1135"/>
      <c r="AJ220" s="1135"/>
      <c r="AK220" s="1135"/>
      <c r="AL220" s="1135"/>
      <c r="AM220" s="1135"/>
      <c r="AN220" s="1135"/>
      <c r="AO220" s="1034"/>
      <c r="AY220" s="513"/>
      <c r="AZ220" s="513"/>
      <c r="BA220" s="513"/>
      <c r="BB220" s="513"/>
    </row>
    <row r="221" spans="2:55" ht="15.75" x14ac:dyDescent="0.25">
      <c r="B221" s="1034"/>
      <c r="C221" s="1135"/>
      <c r="D221" s="986"/>
      <c r="E221" s="514"/>
      <c r="F221" s="514"/>
      <c r="G221" s="514"/>
      <c r="H221" s="514"/>
      <c r="I221" s="514"/>
      <c r="J221" s="986" t="str">
        <f t="shared" si="84"/>
        <v>ICE Hybrid Syn-methanol</v>
      </c>
      <c r="K221" s="1117">
        <f t="shared" si="91"/>
        <v>1.0706629748618787E-2</v>
      </c>
      <c r="L221" s="1117">
        <f t="shared" si="91"/>
        <v>1.2385009891244357E-2</v>
      </c>
      <c r="M221" s="1117">
        <f t="shared" si="91"/>
        <v>1.2385009891244357E-2</v>
      </c>
      <c r="N221" s="1117">
        <f t="shared" si="91"/>
        <v>1.2385009891244357E-2</v>
      </c>
      <c r="O221" s="1118">
        <f t="shared" si="91"/>
        <v>1.2385009891244357E-2</v>
      </c>
      <c r="P221" s="986"/>
      <c r="Q221" s="1101"/>
      <c r="R221" s="1101"/>
      <c r="S221" s="1101"/>
      <c r="T221" s="1101"/>
      <c r="U221" s="1101"/>
      <c r="V221" s="986" t="str">
        <f t="shared" si="85"/>
        <v>ICE Hybrid Syn-methanol</v>
      </c>
      <c r="W221" s="1083">
        <f t="shared" si="86"/>
        <v>0</v>
      </c>
      <c r="X221" s="1083">
        <f t="shared" si="87"/>
        <v>0</v>
      </c>
      <c r="Y221" s="1083">
        <f t="shared" si="88"/>
        <v>0</v>
      </c>
      <c r="Z221" s="1083">
        <f t="shared" si="89"/>
        <v>0</v>
      </c>
      <c r="AA221" s="1084">
        <f t="shared" si="90"/>
        <v>0</v>
      </c>
      <c r="AB221" s="1135"/>
      <c r="AC221" s="1135"/>
      <c r="AD221" s="1135"/>
      <c r="AE221" s="1135"/>
      <c r="AF221" s="1135"/>
      <c r="AG221" s="1135"/>
      <c r="AH221" s="1135"/>
      <c r="AI221" s="1135"/>
      <c r="AJ221" s="1135"/>
      <c r="AK221" s="1135"/>
      <c r="AL221" s="1135"/>
      <c r="AM221" s="1135"/>
      <c r="AN221" s="1135"/>
      <c r="AO221" s="1034"/>
      <c r="AY221" s="513"/>
      <c r="AZ221" s="513"/>
      <c r="BA221" s="513"/>
      <c r="BB221" s="513"/>
    </row>
    <row r="222" spans="2:55" ht="15.75" x14ac:dyDescent="0.25">
      <c r="B222" s="1034"/>
      <c r="C222" s="1135"/>
      <c r="D222" s="986"/>
      <c r="E222" s="514"/>
      <c r="F222" s="514"/>
      <c r="G222" s="514"/>
      <c r="H222" s="514"/>
      <c r="I222" s="514"/>
      <c r="J222" s="986" t="str">
        <f t="shared" si="84"/>
        <v>ICE Hybrid Diesel</v>
      </c>
      <c r="K222" s="1117">
        <f>K216*0.73+K220*0.27</f>
        <v>1.0706629748618787E-2</v>
      </c>
      <c r="L222" s="1117">
        <f>L216*0.73+L220*0.27</f>
        <v>1.2385009891244357E-2</v>
      </c>
      <c r="M222" s="1117">
        <f>M216*0.73+M220*0.27</f>
        <v>1.2385009891244357E-2</v>
      </c>
      <c r="N222" s="1117">
        <f>N216*0.73+N220*0.27</f>
        <v>1.2385009891244357E-2</v>
      </c>
      <c r="O222" s="1118">
        <f>O216*0.73+O220*0.27</f>
        <v>1.2385009891244357E-2</v>
      </c>
      <c r="P222" s="986"/>
      <c r="Q222" s="1101"/>
      <c r="R222" s="1101"/>
      <c r="S222" s="1101"/>
      <c r="T222" s="1101"/>
      <c r="U222" s="1101"/>
      <c r="V222" s="986" t="str">
        <f t="shared" si="85"/>
        <v>ICE Hybrid Diesel</v>
      </c>
      <c r="W222" s="1083">
        <f t="shared" si="86"/>
        <v>0</v>
      </c>
      <c r="X222" s="1083">
        <f t="shared" si="87"/>
        <v>0</v>
      </c>
      <c r="Y222" s="1083">
        <f t="shared" si="88"/>
        <v>0</v>
      </c>
      <c r="Z222" s="1083">
        <f t="shared" si="89"/>
        <v>0</v>
      </c>
      <c r="AA222" s="1084">
        <f t="shared" si="90"/>
        <v>0</v>
      </c>
      <c r="AB222" s="1135"/>
      <c r="AC222" s="1135"/>
      <c r="AD222" s="1135"/>
      <c r="AE222" s="1135"/>
      <c r="AF222" s="1135"/>
      <c r="AG222" s="1135"/>
      <c r="AH222" s="1135"/>
      <c r="AI222" s="1135"/>
      <c r="AJ222" s="1135"/>
      <c r="AK222" s="1135"/>
      <c r="AL222" s="1135"/>
      <c r="AM222" s="1135"/>
      <c r="AN222" s="1135"/>
      <c r="AO222" s="1034"/>
      <c r="AY222" s="513"/>
      <c r="AZ222" s="513"/>
      <c r="BA222" s="513"/>
      <c r="BB222" s="513"/>
    </row>
    <row r="223" spans="2:55" ht="15.75" x14ac:dyDescent="0.25">
      <c r="B223" s="1034"/>
      <c r="C223" s="1135"/>
      <c r="D223" s="986"/>
      <c r="E223" s="514"/>
      <c r="F223" s="514"/>
      <c r="G223" s="514"/>
      <c r="H223" s="514"/>
      <c r="I223" s="514"/>
      <c r="J223" s="986" t="s">
        <v>483</v>
      </c>
      <c r="K223" s="1117">
        <f>E224</f>
        <v>1.2238516666666669E-2</v>
      </c>
      <c r="L223" s="1117">
        <f t="shared" ref="L223:O223" si="92">F224</f>
        <v>1.2238516666666669E-2</v>
      </c>
      <c r="M223" s="1117">
        <f t="shared" si="92"/>
        <v>1.2238516666666669E-2</v>
      </c>
      <c r="N223" s="1117">
        <f t="shared" si="92"/>
        <v>1.2238516666666669E-2</v>
      </c>
      <c r="O223" s="1118">
        <f t="shared" si="92"/>
        <v>1.2238516666666669E-2</v>
      </c>
      <c r="P223" s="986"/>
      <c r="Q223" s="1101"/>
      <c r="R223" s="1101"/>
      <c r="S223" s="1101"/>
      <c r="T223" s="1101"/>
      <c r="U223" s="1101"/>
      <c r="V223" s="986" t="s">
        <v>483</v>
      </c>
      <c r="W223" s="1083">
        <f t="shared" si="86"/>
        <v>0</v>
      </c>
      <c r="X223" s="1083">
        <f t="shared" si="87"/>
        <v>0</v>
      </c>
      <c r="Y223" s="1083">
        <f t="shared" si="88"/>
        <v>0</v>
      </c>
      <c r="Z223" s="1083">
        <f t="shared" si="89"/>
        <v>0</v>
      </c>
      <c r="AA223" s="1084">
        <f t="shared" si="90"/>
        <v>0</v>
      </c>
      <c r="AB223" s="1135"/>
      <c r="AC223" s="1135"/>
      <c r="AD223" s="1135"/>
      <c r="AE223" s="1135"/>
      <c r="AF223" s="1135"/>
      <c r="AG223" s="1135"/>
      <c r="AH223" s="1135"/>
      <c r="AI223" s="1135"/>
      <c r="AJ223" s="1135"/>
      <c r="AK223" s="1135"/>
      <c r="AL223" s="1135"/>
      <c r="AM223" s="1135"/>
      <c r="AN223" s="1135"/>
      <c r="AO223" s="1034"/>
      <c r="AY223" s="513"/>
      <c r="AZ223" s="513"/>
      <c r="BA223" s="513"/>
      <c r="BB223" s="513"/>
    </row>
    <row r="224" spans="2:55" ht="15.75" x14ac:dyDescent="0.25">
      <c r="B224" s="1034"/>
      <c r="C224" s="1135"/>
      <c r="D224" s="986" t="str">
        <f>$D$192</f>
        <v>Diesel</v>
      </c>
      <c r="E224" s="1042">
        <v>1.2238516666666669E-2</v>
      </c>
      <c r="F224" s="1042">
        <v>1.2238516666666669E-2</v>
      </c>
      <c r="G224" s="1042">
        <v>1.2238516666666669E-2</v>
      </c>
      <c r="H224" s="1042">
        <v>1.2238516666666669E-2</v>
      </c>
      <c r="I224" s="1042">
        <v>1.2238516666666669E-2</v>
      </c>
      <c r="J224" s="986" t="str">
        <f t="shared" ref="J224" si="93">J209</f>
        <v>ICE Diesel</v>
      </c>
      <c r="K224" s="1018">
        <v>1.2238516666666669E-2</v>
      </c>
      <c r="L224" s="1018">
        <v>1.2238516666666669E-2</v>
      </c>
      <c r="M224" s="1018">
        <v>1.2238516666666669E-2</v>
      </c>
      <c r="N224" s="1018">
        <v>1.2238516666666669E-2</v>
      </c>
      <c r="O224" s="1019">
        <v>1.2238516666666669E-2</v>
      </c>
      <c r="P224" s="986" t="str">
        <f>$D$192</f>
        <v>Diesel</v>
      </c>
      <c r="Q224" s="1083">
        <f>E224*Q209</f>
        <v>235.62960112304447</v>
      </c>
      <c r="R224" s="1083">
        <f>F224*R209</f>
        <v>230.28473592543153</v>
      </c>
      <c r="S224" s="1083">
        <f>G224*S209</f>
        <v>236.10705558415955</v>
      </c>
      <c r="T224" s="1083">
        <f>H224*T209</f>
        <v>239.0937051755954</v>
      </c>
      <c r="U224" s="1083">
        <f>I224*U209</f>
        <v>242.0803547670312</v>
      </c>
      <c r="V224" s="986" t="str">
        <f>AH209</f>
        <v>ICE Diesel</v>
      </c>
      <c r="W224" s="1083">
        <f t="shared" si="86"/>
        <v>0</v>
      </c>
      <c r="X224" s="1083">
        <f t="shared" si="87"/>
        <v>0</v>
      </c>
      <c r="Y224" s="1083">
        <f t="shared" si="88"/>
        <v>0</v>
      </c>
      <c r="Z224" s="1083">
        <f t="shared" si="89"/>
        <v>0</v>
      </c>
      <c r="AA224" s="1084">
        <f t="shared" si="90"/>
        <v>0</v>
      </c>
      <c r="AB224" s="1135"/>
      <c r="AC224" s="1135"/>
      <c r="AD224" s="1135"/>
      <c r="AE224" s="1135"/>
      <c r="AF224" s="1135"/>
      <c r="AG224" s="1135"/>
      <c r="AH224" s="1135"/>
      <c r="AI224" s="1135"/>
      <c r="AJ224" s="1135"/>
      <c r="AK224" s="1135"/>
      <c r="AL224" s="1135"/>
      <c r="AM224" s="1135"/>
      <c r="AN224" s="1135"/>
      <c r="AO224" s="1034"/>
      <c r="AY224" s="513"/>
      <c r="AZ224" s="513"/>
      <c r="BA224" s="513"/>
      <c r="BB224" s="513"/>
    </row>
    <row r="225" spans="2:54" ht="16.5" thickBot="1" x14ac:dyDescent="0.3">
      <c r="B225" s="1034"/>
      <c r="C225" s="1135"/>
      <c r="D225" s="994"/>
      <c r="E225" s="1005"/>
      <c r="F225" s="1005"/>
      <c r="G225" s="1005"/>
      <c r="H225" s="1005"/>
      <c r="I225" s="1005"/>
      <c r="J225" s="994" t="s">
        <v>93</v>
      </c>
      <c r="K225" s="1121">
        <f>(E218*Q203+E224*Q209)/Q211</f>
        <v>1.2238516666666669E-2</v>
      </c>
      <c r="L225" s="1121">
        <f>(F218*R203+F224*R209)/R211</f>
        <v>1.2238516666666668E-2</v>
      </c>
      <c r="M225" s="1121">
        <f>(G218*S203+G224*S209)/S211</f>
        <v>1.2238516666666668E-2</v>
      </c>
      <c r="N225" s="1121">
        <f>(H218*T203+H224*T209)/T211</f>
        <v>1.2238516666666669E-2</v>
      </c>
      <c r="O225" s="1122">
        <f>(I218*U203+I224*U209)/U211</f>
        <v>1.2238516666666669E-2</v>
      </c>
      <c r="P225" s="994"/>
      <c r="Q225" s="1103"/>
      <c r="R225" s="1103"/>
      <c r="S225" s="1103"/>
      <c r="T225" s="1103"/>
      <c r="U225" s="1103"/>
      <c r="V225" s="994" t="str">
        <f>AH210</f>
        <v>No shift in technology / ICE Diesel</v>
      </c>
      <c r="W225" s="1091">
        <f t="shared" si="86"/>
        <v>236.67224678722326</v>
      </c>
      <c r="X225" s="1091">
        <f t="shared" si="87"/>
        <v>242.65592966053444</v>
      </c>
      <c r="Y225" s="1091">
        <f t="shared" si="88"/>
        <v>248.79103185865375</v>
      </c>
      <c r="Z225" s="1091">
        <f t="shared" si="89"/>
        <v>251.93812812740001</v>
      </c>
      <c r="AA225" s="1092">
        <f t="shared" si="90"/>
        <v>255.08522439614612</v>
      </c>
      <c r="AB225" s="1135"/>
      <c r="AC225" s="1135"/>
      <c r="AD225" s="1135"/>
      <c r="AE225" s="1135"/>
      <c r="AF225" s="1135"/>
      <c r="AG225" s="1135"/>
      <c r="AH225" s="1135"/>
      <c r="AI225" s="1135"/>
      <c r="AJ225" s="1135"/>
      <c r="AK225" s="1135"/>
      <c r="AL225" s="1135"/>
      <c r="AM225" s="1135"/>
      <c r="AN225" s="1135"/>
      <c r="AO225" s="1034"/>
      <c r="AY225" s="513"/>
      <c r="AZ225" s="513"/>
      <c r="BA225" s="513"/>
      <c r="BB225" s="513"/>
    </row>
    <row r="226" spans="2:54" ht="17.25" thickTop="1" thickBot="1" x14ac:dyDescent="0.3">
      <c r="B226" s="1034"/>
      <c r="C226" s="1135"/>
      <c r="D226" s="996"/>
      <c r="E226" s="1022"/>
      <c r="F226" s="1022"/>
      <c r="G226" s="1022"/>
      <c r="H226" s="1022"/>
      <c r="I226" s="1022"/>
      <c r="J226" s="996"/>
      <c r="K226" s="997"/>
      <c r="L226" s="997"/>
      <c r="M226" s="997"/>
      <c r="N226" s="997"/>
      <c r="O226" s="998"/>
      <c r="P226" s="996" t="s">
        <v>60</v>
      </c>
      <c r="Q226" s="1087">
        <f>SUM(Q216:Q225)</f>
        <v>236.67224678722326</v>
      </c>
      <c r="R226" s="1087">
        <f>SUM(R216:R225)</f>
        <v>242.65592966053444</v>
      </c>
      <c r="S226" s="1087">
        <f>SUM(S216:S225)</f>
        <v>248.79103185865381</v>
      </c>
      <c r="T226" s="1087">
        <f>SUM(T216:T225)</f>
        <v>251.93812812739998</v>
      </c>
      <c r="U226" s="1088">
        <f>SUM(U216:U225)</f>
        <v>255.08522439614609</v>
      </c>
      <c r="V226" s="996" t="s">
        <v>60</v>
      </c>
      <c r="W226" s="1087">
        <f>SUM(W216:W225)</f>
        <v>236.67224678722326</v>
      </c>
      <c r="X226" s="1087">
        <f>SUM(X216:X225)</f>
        <v>242.65592966053444</v>
      </c>
      <c r="Y226" s="1087">
        <f>SUM(Y216:Y225)</f>
        <v>248.79103185865375</v>
      </c>
      <c r="Z226" s="1087">
        <f>SUM(Z216:Z225)</f>
        <v>251.93812812740001</v>
      </c>
      <c r="AA226" s="1088">
        <f>SUM(AA216:AA225)</f>
        <v>255.08522439614612</v>
      </c>
      <c r="AB226" s="1135"/>
      <c r="AC226" s="1135"/>
      <c r="AD226" s="1135"/>
      <c r="AE226" s="1135"/>
      <c r="AF226" s="1135"/>
      <c r="AG226" s="1135"/>
      <c r="AH226" s="1135"/>
      <c r="AI226" s="1135"/>
      <c r="AJ226" s="1135"/>
      <c r="AK226" s="1135"/>
      <c r="AL226" s="1135"/>
      <c r="AM226" s="1135"/>
      <c r="AN226" s="1135"/>
      <c r="AO226" s="1034"/>
      <c r="AY226" s="513"/>
      <c r="AZ226" s="513"/>
      <c r="BA226" s="513"/>
      <c r="BB226" s="513"/>
    </row>
    <row r="227" spans="2:54" ht="16.5" thickBot="1" x14ac:dyDescent="0.3">
      <c r="B227" s="1034"/>
      <c r="C227" s="1135"/>
      <c r="D227" s="1135"/>
      <c r="E227" s="1135"/>
      <c r="F227" s="1135"/>
      <c r="G227" s="1135"/>
      <c r="H227" s="1135"/>
      <c r="I227" s="1135"/>
      <c r="J227" s="1135"/>
      <c r="K227" s="1135"/>
      <c r="L227" s="1135"/>
      <c r="M227" s="1135"/>
      <c r="N227" s="1135"/>
      <c r="O227" s="1135"/>
      <c r="P227" s="996" t="s">
        <v>230</v>
      </c>
      <c r="Q227" s="1026">
        <f>Q226/Q211</f>
        <v>1.2238516666666669E-2</v>
      </c>
      <c r="R227" s="1026">
        <f>R226/R211</f>
        <v>1.2238516666666668E-2</v>
      </c>
      <c r="S227" s="1026">
        <f>S226/S211</f>
        <v>1.2238516666666668E-2</v>
      </c>
      <c r="T227" s="1026">
        <f>T226/T211</f>
        <v>1.2238516666666669E-2</v>
      </c>
      <c r="U227" s="1027">
        <f>U226/U211</f>
        <v>1.2238516666666669E-2</v>
      </c>
      <c r="V227" s="996"/>
      <c r="W227" s="1026">
        <f>W226/W211</f>
        <v>1.2238516666666669E-2</v>
      </c>
      <c r="X227" s="1026">
        <f>X226/X211</f>
        <v>1.2238516666666668E-2</v>
      </c>
      <c r="Y227" s="1026">
        <f>Y226/Y211</f>
        <v>1.2238516666666668E-2</v>
      </c>
      <c r="Z227" s="1026">
        <f>Z226/Z211</f>
        <v>1.2238516666666669E-2</v>
      </c>
      <c r="AA227" s="1027">
        <f>AA226/AA211</f>
        <v>1.2238516666666669E-2</v>
      </c>
      <c r="AB227" s="1135"/>
      <c r="AC227" s="1135"/>
      <c r="AD227" s="1135"/>
      <c r="AE227" s="1135"/>
      <c r="AF227" s="1135"/>
      <c r="AG227" s="1135"/>
      <c r="AH227" s="1135"/>
      <c r="AI227" s="1135"/>
      <c r="AJ227" s="1135"/>
      <c r="AK227" s="1135"/>
      <c r="AL227" s="1135"/>
      <c r="AM227" s="1135"/>
      <c r="AN227" s="1135"/>
      <c r="AO227" s="1034"/>
      <c r="AQ227" s="513"/>
      <c r="AR227" s="513"/>
      <c r="AS227" s="513"/>
      <c r="AT227" s="513"/>
    </row>
    <row r="228" spans="2:54" ht="15.75" thickBot="1" x14ac:dyDescent="0.3">
      <c r="B228" s="1034"/>
      <c r="C228" s="1135"/>
      <c r="D228" s="1135"/>
      <c r="E228" s="1135"/>
      <c r="F228" s="1135"/>
      <c r="G228" s="1135"/>
      <c r="H228" s="1135"/>
      <c r="I228" s="1135"/>
      <c r="J228" s="1135"/>
      <c r="K228" s="1135"/>
      <c r="L228" s="1135"/>
      <c r="M228" s="1135"/>
      <c r="N228" s="1135"/>
      <c r="O228" s="1135"/>
      <c r="P228" s="1135"/>
      <c r="Q228" s="1135"/>
      <c r="R228" s="1135"/>
      <c r="S228" s="1135"/>
      <c r="T228" s="1135"/>
      <c r="U228" s="1135"/>
      <c r="V228" s="1135"/>
      <c r="W228" s="1135"/>
      <c r="X228" s="1135"/>
      <c r="Y228" s="1135"/>
      <c r="Z228" s="1135"/>
      <c r="AA228" s="1135"/>
      <c r="AB228" s="1135"/>
      <c r="AC228" s="1135"/>
      <c r="AD228" s="1135"/>
      <c r="AE228" s="1135"/>
      <c r="AF228" s="1135"/>
      <c r="AG228" s="1135"/>
      <c r="AH228" s="1135"/>
      <c r="AI228" s="1135"/>
      <c r="AJ228" s="1135"/>
      <c r="AK228" s="1135"/>
      <c r="AL228" s="1135"/>
      <c r="AM228" s="1135"/>
      <c r="AN228" s="1135"/>
      <c r="AO228" s="1034"/>
      <c r="AQ228" s="513"/>
      <c r="AR228" s="513"/>
      <c r="AS228" s="513"/>
      <c r="AT228" s="513"/>
    </row>
    <row r="229" spans="2:54" x14ac:dyDescent="0.25">
      <c r="B229" s="1034"/>
      <c r="C229" s="1135"/>
      <c r="D229" s="2020" t="s">
        <v>185</v>
      </c>
      <c r="E229" s="2021">
        <v>2010</v>
      </c>
      <c r="F229" s="2021">
        <v>2020</v>
      </c>
      <c r="G229" s="2021">
        <v>2030</v>
      </c>
      <c r="H229" s="2021">
        <v>2040</v>
      </c>
      <c r="I229" s="2022">
        <v>2050</v>
      </c>
      <c r="J229" s="2017" t="s">
        <v>186</v>
      </c>
      <c r="K229" s="2018">
        <v>2010</v>
      </c>
      <c r="L229" s="2018">
        <v>2020</v>
      </c>
      <c r="M229" s="2018">
        <v>2030</v>
      </c>
      <c r="N229" s="2018">
        <v>2040</v>
      </c>
      <c r="O229" s="2019">
        <v>2050</v>
      </c>
      <c r="P229" s="1139"/>
      <c r="Q229" s="1135"/>
      <c r="R229" s="1135"/>
      <c r="S229" s="1135"/>
      <c r="T229" s="1135"/>
      <c r="U229" s="1135"/>
      <c r="V229" s="1135"/>
      <c r="W229" s="1135"/>
      <c r="X229" s="1135"/>
      <c r="Y229" s="1135"/>
      <c r="Z229" s="1135"/>
      <c r="AA229" s="1135"/>
      <c r="AB229" s="1135"/>
      <c r="AC229" s="1135"/>
      <c r="AD229" s="1135"/>
      <c r="AE229" s="1135"/>
      <c r="AF229" s="1135"/>
      <c r="AG229" s="1135"/>
      <c r="AH229" s="1135"/>
      <c r="AI229" s="1135"/>
      <c r="AJ229" s="1135"/>
      <c r="AK229" s="1135"/>
      <c r="AL229" s="1135"/>
      <c r="AM229" s="1135"/>
      <c r="AN229" s="1135"/>
      <c r="AO229" s="1034"/>
      <c r="AQ229" s="513"/>
      <c r="AR229" s="513"/>
      <c r="AS229" s="513"/>
      <c r="AT229" s="513"/>
    </row>
    <row r="230" spans="2:54" ht="16.5" thickBot="1" x14ac:dyDescent="0.3">
      <c r="B230" s="1034"/>
      <c r="C230" s="1135"/>
      <c r="D230" s="971" t="s">
        <v>391</v>
      </c>
      <c r="E230" s="983">
        <v>2010</v>
      </c>
      <c r="F230" s="983">
        <v>2020</v>
      </c>
      <c r="G230" s="983">
        <v>2030</v>
      </c>
      <c r="H230" s="983">
        <v>2040</v>
      </c>
      <c r="I230" s="984">
        <v>2050</v>
      </c>
      <c r="J230" s="971" t="s">
        <v>391</v>
      </c>
      <c r="K230" s="983">
        <v>2010</v>
      </c>
      <c r="L230" s="983">
        <v>2020</v>
      </c>
      <c r="M230" s="983">
        <v>2030</v>
      </c>
      <c r="N230" s="983">
        <v>2040</v>
      </c>
      <c r="O230" s="984">
        <v>2050</v>
      </c>
      <c r="P230" s="1137"/>
      <c r="Q230" s="1135"/>
      <c r="R230" s="1135"/>
      <c r="S230" s="1135"/>
      <c r="T230" s="1135"/>
      <c r="U230" s="1135"/>
      <c r="V230" s="1135"/>
      <c r="W230" s="1135"/>
      <c r="X230" s="1135"/>
      <c r="Y230" s="1135"/>
      <c r="Z230" s="1135"/>
      <c r="AA230" s="1135"/>
      <c r="AB230" s="1135"/>
      <c r="AC230" s="1135"/>
      <c r="AD230" s="1135"/>
      <c r="AE230" s="1135"/>
      <c r="AF230" s="1135"/>
      <c r="AG230" s="1135"/>
      <c r="AH230" s="1135"/>
      <c r="AI230" s="1135"/>
      <c r="AJ230" s="1135"/>
      <c r="AK230" s="1135"/>
      <c r="AL230" s="1135"/>
      <c r="AM230" s="1135"/>
      <c r="AN230" s="1135"/>
      <c r="AO230" s="1034"/>
      <c r="AQ230" s="513"/>
      <c r="AR230" s="513"/>
      <c r="AS230" s="513"/>
      <c r="AT230" s="513"/>
    </row>
    <row r="231" spans="2:54" ht="15.75" x14ac:dyDescent="0.25">
      <c r="B231" s="1034"/>
      <c r="C231" s="1135"/>
      <c r="D231" s="1000"/>
      <c r="E231" s="1099"/>
      <c r="F231" s="1099"/>
      <c r="G231" s="1099"/>
      <c r="H231" s="1099"/>
      <c r="I231" s="1100"/>
      <c r="J231" s="999" t="str">
        <f t="shared" ref="J231:J237" si="94">J246</f>
        <v>Battery electric busses</v>
      </c>
      <c r="K231" s="1089">
        <f t="shared" ref="K231:K240" si="95">AI201+W216</f>
        <v>0</v>
      </c>
      <c r="L231" s="1089">
        <f t="shared" ref="L231:L240" si="96">AJ201+X216</f>
        <v>0</v>
      </c>
      <c r="M231" s="1089">
        <f t="shared" ref="M231:M240" si="97">AK201+Y216</f>
        <v>0</v>
      </c>
      <c r="N231" s="1089">
        <f t="shared" ref="N231:N240" si="98">AL201+Z216</f>
        <v>0</v>
      </c>
      <c r="O231" s="1090">
        <f t="shared" ref="O231:O240" si="99">AM201+AA216</f>
        <v>0</v>
      </c>
      <c r="P231" s="1137"/>
      <c r="Q231" s="1135"/>
      <c r="R231" s="1135"/>
      <c r="S231" s="1135"/>
      <c r="T231" s="1135"/>
      <c r="U231" s="1135"/>
      <c r="V231" s="1135"/>
      <c r="W231" s="1135"/>
      <c r="X231" s="1135"/>
      <c r="Y231" s="1135"/>
      <c r="Z231" s="1135"/>
      <c r="AA231" s="1135"/>
      <c r="AB231" s="1135"/>
      <c r="AC231" s="1135"/>
      <c r="AD231" s="1135"/>
      <c r="AE231" s="1135"/>
      <c r="AF231" s="1135"/>
      <c r="AG231" s="1135"/>
      <c r="AH231" s="1135"/>
      <c r="AI231" s="1135"/>
      <c r="AJ231" s="1135"/>
      <c r="AK231" s="1135"/>
      <c r="AL231" s="1135"/>
      <c r="AM231" s="1135"/>
      <c r="AN231" s="1135"/>
      <c r="AO231" s="1034"/>
      <c r="AQ231" s="513"/>
      <c r="AR231" s="513"/>
      <c r="AS231" s="513"/>
      <c r="AT231" s="513"/>
    </row>
    <row r="232" spans="2:54" ht="15.75" x14ac:dyDescent="0.25">
      <c r="B232" s="1034"/>
      <c r="C232" s="1135"/>
      <c r="D232" s="986"/>
      <c r="E232" s="1081"/>
      <c r="F232" s="1081"/>
      <c r="G232" s="1081"/>
      <c r="H232" s="1081"/>
      <c r="I232" s="1082"/>
      <c r="J232" s="986" t="str">
        <f t="shared" si="94"/>
        <v>Fuel cell hybrid busses (methanol/Synthetic fuel)</v>
      </c>
      <c r="K232" s="1083">
        <f t="shared" si="95"/>
        <v>0</v>
      </c>
      <c r="L232" s="1083">
        <f t="shared" si="96"/>
        <v>0</v>
      </c>
      <c r="M232" s="1083">
        <f t="shared" si="97"/>
        <v>0</v>
      </c>
      <c r="N232" s="1083">
        <f t="shared" si="98"/>
        <v>0</v>
      </c>
      <c r="O232" s="1084">
        <f t="shared" si="99"/>
        <v>0</v>
      </c>
      <c r="P232" s="1137"/>
      <c r="Q232" s="1135"/>
      <c r="R232" s="1135"/>
      <c r="S232" s="1135"/>
      <c r="T232" s="1135"/>
      <c r="U232" s="1135"/>
      <c r="V232" s="1135"/>
      <c r="W232" s="1135"/>
      <c r="X232" s="1135"/>
      <c r="Y232" s="1135"/>
      <c r="Z232" s="1135"/>
      <c r="AA232" s="1135"/>
      <c r="AB232" s="1135"/>
      <c r="AC232" s="1135"/>
      <c r="AD232" s="1135"/>
      <c r="AE232" s="1135"/>
      <c r="AF232" s="1135"/>
      <c r="AG232" s="1135"/>
      <c r="AH232" s="1135"/>
      <c r="AI232" s="1135"/>
      <c r="AJ232" s="1135"/>
      <c r="AK232" s="1135"/>
      <c r="AL232" s="1135"/>
      <c r="AM232" s="1135"/>
      <c r="AN232" s="1135"/>
      <c r="AO232" s="1034"/>
      <c r="AQ232" s="513"/>
      <c r="AR232" s="513"/>
      <c r="AS232" s="513"/>
      <c r="AT232" s="513"/>
    </row>
    <row r="233" spans="2:54" ht="15.75" x14ac:dyDescent="0.25">
      <c r="B233" s="1034"/>
      <c r="C233" s="1135"/>
      <c r="D233" s="986" t="str">
        <f>$D$189</f>
        <v>Biodiesel</v>
      </c>
      <c r="E233" s="1101">
        <f>AC203+Q218</f>
        <v>9.0533792342654849</v>
      </c>
      <c r="F233" s="1101">
        <f>AD203+R218</f>
        <v>107.42010666938316</v>
      </c>
      <c r="G233" s="1101">
        <f>AE203+S218</f>
        <v>110.13602353764811</v>
      </c>
      <c r="H233" s="1101">
        <f>AF203+T218</f>
        <v>111.5291954142244</v>
      </c>
      <c r="I233" s="1102">
        <f>AG203+U218</f>
        <v>112.92236729080069</v>
      </c>
      <c r="J233" s="986" t="str">
        <f t="shared" si="94"/>
        <v>ICE Bio-methanol</v>
      </c>
      <c r="K233" s="1083">
        <f t="shared" si="95"/>
        <v>0</v>
      </c>
      <c r="L233" s="1083">
        <f t="shared" si="96"/>
        <v>0</v>
      </c>
      <c r="M233" s="1083">
        <f t="shared" si="97"/>
        <v>0</v>
      </c>
      <c r="N233" s="1083">
        <f t="shared" si="98"/>
        <v>0</v>
      </c>
      <c r="O233" s="1084">
        <f t="shared" si="99"/>
        <v>0</v>
      </c>
      <c r="P233" s="1137"/>
      <c r="Q233" s="1135"/>
      <c r="R233" s="1135"/>
      <c r="S233" s="1135"/>
      <c r="T233" s="1135"/>
      <c r="U233" s="1135"/>
      <c r="V233" s="1135"/>
      <c r="W233" s="1135"/>
      <c r="X233" s="1135"/>
      <c r="Y233" s="1135"/>
      <c r="Z233" s="1135"/>
      <c r="AA233" s="1135"/>
      <c r="AB233" s="1135"/>
      <c r="AC233" s="1135"/>
      <c r="AD233" s="1135"/>
      <c r="AE233" s="1135"/>
      <c r="AF233" s="1135"/>
      <c r="AG233" s="1135"/>
      <c r="AH233" s="1135"/>
      <c r="AI233" s="1135"/>
      <c r="AJ233" s="1135"/>
      <c r="AK233" s="1135"/>
      <c r="AL233" s="1135"/>
      <c r="AM233" s="1135"/>
      <c r="AN233" s="1135"/>
      <c r="AO233" s="1034"/>
      <c r="AQ233" s="513"/>
      <c r="AR233" s="513"/>
      <c r="AS233" s="513"/>
      <c r="AT233" s="513"/>
    </row>
    <row r="234" spans="2:54" ht="15.75" x14ac:dyDescent="0.25">
      <c r="B234" s="1034"/>
      <c r="C234" s="1135"/>
      <c r="D234" s="986"/>
      <c r="E234" s="1101"/>
      <c r="F234" s="1101"/>
      <c r="G234" s="1101"/>
      <c r="H234" s="1101"/>
      <c r="I234" s="1102"/>
      <c r="J234" s="986" t="str">
        <f t="shared" si="94"/>
        <v>ICE Hybrid Bio-methanol</v>
      </c>
      <c r="K234" s="1083">
        <f t="shared" si="95"/>
        <v>0</v>
      </c>
      <c r="L234" s="1083">
        <f t="shared" si="96"/>
        <v>0</v>
      </c>
      <c r="M234" s="1083">
        <f t="shared" si="97"/>
        <v>0</v>
      </c>
      <c r="N234" s="1083">
        <f t="shared" si="98"/>
        <v>0</v>
      </c>
      <c r="O234" s="1084">
        <f t="shared" si="99"/>
        <v>0</v>
      </c>
      <c r="P234" s="1137"/>
      <c r="Q234" s="1135"/>
      <c r="R234" s="1135"/>
      <c r="S234" s="1135"/>
      <c r="T234" s="1135"/>
      <c r="U234" s="1135"/>
      <c r="V234" s="1135"/>
      <c r="W234" s="1135"/>
      <c r="X234" s="1135"/>
      <c r="Y234" s="1135"/>
      <c r="Z234" s="1135"/>
      <c r="AA234" s="1135"/>
      <c r="AB234" s="1135"/>
      <c r="AC234" s="1135"/>
      <c r="AD234" s="1135"/>
      <c r="AE234" s="1135"/>
      <c r="AF234" s="1135"/>
      <c r="AG234" s="1135"/>
      <c r="AH234" s="1135"/>
      <c r="AI234" s="1135"/>
      <c r="AJ234" s="1135"/>
      <c r="AK234" s="1135"/>
      <c r="AL234" s="1135"/>
      <c r="AM234" s="1135"/>
      <c r="AN234" s="1135"/>
      <c r="AO234" s="1034"/>
      <c r="AQ234" s="513"/>
      <c r="AR234" s="513"/>
      <c r="AS234" s="513"/>
      <c r="AT234" s="513"/>
    </row>
    <row r="235" spans="2:54" ht="15.75" x14ac:dyDescent="0.25">
      <c r="B235" s="1034"/>
      <c r="C235" s="1135"/>
      <c r="D235" s="986"/>
      <c r="E235" s="634"/>
      <c r="F235" s="634"/>
      <c r="G235" s="634"/>
      <c r="H235" s="634"/>
      <c r="I235" s="987"/>
      <c r="J235" s="986" t="str">
        <f t="shared" si="94"/>
        <v>ICE Syn-methanol</v>
      </c>
      <c r="K235" s="1083">
        <f t="shared" si="95"/>
        <v>0</v>
      </c>
      <c r="L235" s="1083">
        <f t="shared" si="96"/>
        <v>0</v>
      </c>
      <c r="M235" s="1083">
        <f t="shared" si="97"/>
        <v>0</v>
      </c>
      <c r="N235" s="1083">
        <f t="shared" si="98"/>
        <v>0</v>
      </c>
      <c r="O235" s="1084">
        <f t="shared" si="99"/>
        <v>0</v>
      </c>
      <c r="P235" s="1137"/>
      <c r="Q235" s="1135"/>
      <c r="R235" s="1135"/>
      <c r="S235" s="1135"/>
      <c r="T235" s="1135"/>
      <c r="U235" s="1135"/>
      <c r="V235" s="1135"/>
      <c r="W235" s="1135"/>
      <c r="X235" s="1135"/>
      <c r="Y235" s="1135"/>
      <c r="Z235" s="1135"/>
      <c r="AA235" s="1135"/>
      <c r="AB235" s="1135"/>
      <c r="AC235" s="1135"/>
      <c r="AD235" s="1135"/>
      <c r="AE235" s="1135"/>
      <c r="AF235" s="1135"/>
      <c r="AG235" s="1135"/>
      <c r="AH235" s="1135"/>
      <c r="AI235" s="1135"/>
      <c r="AJ235" s="1135"/>
      <c r="AK235" s="1135"/>
      <c r="AL235" s="1135"/>
      <c r="AM235" s="1135"/>
      <c r="AN235" s="1135"/>
      <c r="AO235" s="1034"/>
      <c r="AQ235" s="513"/>
      <c r="AR235" s="513"/>
      <c r="AS235" s="513"/>
      <c r="AT235" s="513"/>
    </row>
    <row r="236" spans="2:54" ht="15.75" x14ac:dyDescent="0.25">
      <c r="B236" s="1034"/>
      <c r="C236" s="1135"/>
      <c r="D236" s="986"/>
      <c r="E236" s="1101"/>
      <c r="F236" s="1101"/>
      <c r="G236" s="1101"/>
      <c r="H236" s="1101"/>
      <c r="I236" s="1102"/>
      <c r="J236" s="986" t="str">
        <f t="shared" si="94"/>
        <v>ICE Hybrid Syn-methanol</v>
      </c>
      <c r="K236" s="1083">
        <f t="shared" si="95"/>
        <v>0</v>
      </c>
      <c r="L236" s="1083">
        <f t="shared" si="96"/>
        <v>0</v>
      </c>
      <c r="M236" s="1083">
        <f t="shared" si="97"/>
        <v>0</v>
      </c>
      <c r="N236" s="1083">
        <f t="shared" si="98"/>
        <v>0</v>
      </c>
      <c r="O236" s="1084">
        <f t="shared" si="99"/>
        <v>0</v>
      </c>
      <c r="P236" s="1137"/>
      <c r="Q236" s="1135"/>
      <c r="R236" s="1135"/>
      <c r="S236" s="1135"/>
      <c r="T236" s="1135"/>
      <c r="U236" s="1135"/>
      <c r="V236" s="1135"/>
      <c r="W236" s="1135"/>
      <c r="X236" s="1135"/>
      <c r="Y236" s="1135"/>
      <c r="Z236" s="1135"/>
      <c r="AA236" s="1135"/>
      <c r="AB236" s="1135"/>
      <c r="AC236" s="1135"/>
      <c r="AD236" s="1135"/>
      <c r="AE236" s="1135"/>
      <c r="AF236" s="1135"/>
      <c r="AG236" s="1135"/>
      <c r="AH236" s="1135"/>
      <c r="AI236" s="1135"/>
      <c r="AJ236" s="1135"/>
      <c r="AK236" s="1135"/>
      <c r="AL236" s="1135"/>
      <c r="AM236" s="1135"/>
      <c r="AN236" s="1135"/>
      <c r="AO236" s="1034"/>
      <c r="AQ236" s="513"/>
      <c r="AR236" s="513"/>
      <c r="AS236" s="513"/>
      <c r="AT236" s="513"/>
    </row>
    <row r="237" spans="2:54" ht="15.75" x14ac:dyDescent="0.25">
      <c r="B237" s="1034"/>
      <c r="C237" s="1135"/>
      <c r="D237" s="986"/>
      <c r="E237" s="1101"/>
      <c r="F237" s="1101"/>
      <c r="G237" s="1101"/>
      <c r="H237" s="1101"/>
      <c r="I237" s="1102"/>
      <c r="J237" s="986" t="str">
        <f t="shared" si="94"/>
        <v>ICE Hybrid Diesel</v>
      </c>
      <c r="K237" s="1083">
        <f t="shared" si="95"/>
        <v>0</v>
      </c>
      <c r="L237" s="1083">
        <f t="shared" si="96"/>
        <v>0</v>
      </c>
      <c r="M237" s="1083">
        <f t="shared" si="97"/>
        <v>0</v>
      </c>
      <c r="N237" s="1083">
        <f t="shared" si="98"/>
        <v>0</v>
      </c>
      <c r="O237" s="1084">
        <f t="shared" si="99"/>
        <v>0</v>
      </c>
      <c r="P237" s="1137"/>
      <c r="Q237" s="1135"/>
      <c r="R237" s="1135"/>
      <c r="S237" s="1135"/>
      <c r="T237" s="1135"/>
      <c r="U237" s="1135"/>
      <c r="V237" s="1135"/>
      <c r="W237" s="1135"/>
      <c r="X237" s="1135"/>
      <c r="Y237" s="1135"/>
      <c r="Z237" s="1135"/>
      <c r="AA237" s="1135"/>
      <c r="AB237" s="1135"/>
      <c r="AC237" s="1135"/>
      <c r="AD237" s="1135"/>
      <c r="AE237" s="1135"/>
      <c r="AF237" s="1135"/>
      <c r="AG237" s="1135"/>
      <c r="AH237" s="1135"/>
      <c r="AI237" s="1135"/>
      <c r="AJ237" s="1135"/>
      <c r="AK237" s="1135"/>
      <c r="AL237" s="1135"/>
      <c r="AM237" s="1135"/>
      <c r="AN237" s="1135"/>
      <c r="AO237" s="1034"/>
      <c r="AQ237" s="513"/>
      <c r="AR237" s="513"/>
      <c r="AS237" s="513"/>
      <c r="AT237" s="513"/>
    </row>
    <row r="238" spans="2:54" ht="15.75" x14ac:dyDescent="0.25">
      <c r="B238" s="1034"/>
      <c r="C238" s="1135"/>
      <c r="D238" s="986"/>
      <c r="E238" s="1101"/>
      <c r="F238" s="1101"/>
      <c r="G238" s="1101"/>
      <c r="H238" s="1101"/>
      <c r="I238" s="1102"/>
      <c r="J238" s="986" t="s">
        <v>483</v>
      </c>
      <c r="K238" s="1083">
        <f t="shared" si="95"/>
        <v>0</v>
      </c>
      <c r="L238" s="1083">
        <f t="shared" si="96"/>
        <v>0</v>
      </c>
      <c r="M238" s="1083">
        <f t="shared" si="97"/>
        <v>0</v>
      </c>
      <c r="N238" s="1083">
        <f t="shared" si="98"/>
        <v>0</v>
      </c>
      <c r="O238" s="1084">
        <f t="shared" si="99"/>
        <v>0</v>
      </c>
      <c r="P238" s="1137"/>
      <c r="Q238" s="1135"/>
      <c r="R238" s="1135"/>
      <c r="S238" s="1135"/>
      <c r="T238" s="1135"/>
      <c r="U238" s="1135"/>
      <c r="V238" s="1135"/>
      <c r="W238" s="1135"/>
      <c r="X238" s="1135"/>
      <c r="Y238" s="1135"/>
      <c r="Z238" s="1135"/>
      <c r="AA238" s="1135"/>
      <c r="AB238" s="1135"/>
      <c r="AC238" s="1135"/>
      <c r="AD238" s="1135"/>
      <c r="AE238" s="1135"/>
      <c r="AF238" s="1135"/>
      <c r="AG238" s="1135"/>
      <c r="AH238" s="1135"/>
      <c r="AI238" s="1135"/>
      <c r="AJ238" s="1135"/>
      <c r="AK238" s="1135"/>
      <c r="AL238" s="1135"/>
      <c r="AM238" s="1135"/>
      <c r="AN238" s="1135"/>
      <c r="AO238" s="1034"/>
      <c r="AQ238" s="513"/>
      <c r="AR238" s="513"/>
      <c r="AS238" s="513"/>
      <c r="AT238" s="513"/>
    </row>
    <row r="239" spans="2:54" ht="15.75" x14ac:dyDescent="0.25">
      <c r="B239" s="1034"/>
      <c r="C239" s="1135"/>
      <c r="D239" s="986" t="str">
        <f>$D$192</f>
        <v>Diesel</v>
      </c>
      <c r="E239" s="1083">
        <f>AC209+Q224</f>
        <v>2045.9914725352157</v>
      </c>
      <c r="F239" s="1083">
        <f>AD209+R224</f>
        <v>1999.5815623879087</v>
      </c>
      <c r="G239" s="1083">
        <f>AE209+S224</f>
        <v>2050.1372494295852</v>
      </c>
      <c r="H239" s="1083">
        <f>AF209+T224</f>
        <v>2076.0705768485686</v>
      </c>
      <c r="I239" s="1084">
        <f>AG209+U224</f>
        <v>2102.0039042675526</v>
      </c>
      <c r="J239" s="986" t="str">
        <f t="shared" ref="J239" si="100">J254</f>
        <v>ICE Diesel</v>
      </c>
      <c r="K239" s="1083">
        <f t="shared" si="95"/>
        <v>0</v>
      </c>
      <c r="L239" s="1083">
        <f t="shared" si="96"/>
        <v>0</v>
      </c>
      <c r="M239" s="1083">
        <f t="shared" si="97"/>
        <v>0</v>
      </c>
      <c r="N239" s="1083">
        <f t="shared" si="98"/>
        <v>0</v>
      </c>
      <c r="O239" s="1084">
        <f t="shared" si="99"/>
        <v>0</v>
      </c>
      <c r="P239" s="1137"/>
      <c r="Q239" s="1135"/>
      <c r="R239" s="1135"/>
      <c r="S239" s="1135"/>
      <c r="T239" s="1135"/>
      <c r="U239" s="1135"/>
      <c r="V239" s="1135"/>
      <c r="W239" s="1135"/>
      <c r="X239" s="1135"/>
      <c r="Y239" s="1135"/>
      <c r="Z239" s="1135"/>
      <c r="AA239" s="1135"/>
      <c r="AB239" s="1135"/>
      <c r="AC239" s="1135"/>
      <c r="AD239" s="1135"/>
      <c r="AE239" s="1135"/>
      <c r="AF239" s="1135"/>
      <c r="AG239" s="1135"/>
      <c r="AH239" s="1135"/>
      <c r="AI239" s="1135"/>
      <c r="AJ239" s="1135"/>
      <c r="AK239" s="1135"/>
      <c r="AL239" s="1135"/>
      <c r="AM239" s="1135"/>
      <c r="AN239" s="1135"/>
      <c r="AO239" s="1034"/>
      <c r="AQ239" s="513"/>
      <c r="AR239" s="513"/>
      <c r="AS239" s="513"/>
      <c r="AT239" s="513"/>
    </row>
    <row r="240" spans="2:54" ht="16.5" thickBot="1" x14ac:dyDescent="0.3">
      <c r="B240" s="1034"/>
      <c r="C240" s="1135"/>
      <c r="D240" s="994"/>
      <c r="E240" s="1103"/>
      <c r="F240" s="1103"/>
      <c r="G240" s="1103"/>
      <c r="H240" s="1103"/>
      <c r="I240" s="1104"/>
      <c r="J240" s="994" t="s">
        <v>57</v>
      </c>
      <c r="K240" s="1091">
        <f t="shared" si="95"/>
        <v>2055.0448517694813</v>
      </c>
      <c r="L240" s="1091">
        <f t="shared" si="96"/>
        <v>2107.001669057292</v>
      </c>
      <c r="M240" s="1091">
        <f t="shared" si="97"/>
        <v>2160.2732729672325</v>
      </c>
      <c r="N240" s="1091">
        <f t="shared" si="98"/>
        <v>2187.5997722627935</v>
      </c>
      <c r="O240" s="1092">
        <f t="shared" si="99"/>
        <v>2214.9262715583536</v>
      </c>
      <c r="P240" s="1137"/>
      <c r="Q240" s="1135"/>
      <c r="R240" s="1135"/>
      <c r="S240" s="1135"/>
      <c r="T240" s="1135"/>
      <c r="U240" s="1135"/>
      <c r="V240" s="1135"/>
      <c r="W240" s="1135"/>
      <c r="X240" s="1135"/>
      <c r="Y240" s="1135"/>
      <c r="Z240" s="1135"/>
      <c r="AA240" s="1135"/>
      <c r="AB240" s="1135"/>
      <c r="AC240" s="1135"/>
      <c r="AD240" s="1135"/>
      <c r="AE240" s="1135"/>
      <c r="AF240" s="1135"/>
      <c r="AG240" s="1135"/>
      <c r="AH240" s="1135"/>
      <c r="AI240" s="1135"/>
      <c r="AJ240" s="1135"/>
      <c r="AK240" s="1135"/>
      <c r="AL240" s="1135"/>
      <c r="AM240" s="1135"/>
      <c r="AN240" s="1135"/>
      <c r="AO240" s="1034"/>
      <c r="AQ240" s="513"/>
      <c r="AR240" s="513"/>
      <c r="AS240" s="513"/>
      <c r="AT240" s="513"/>
    </row>
    <row r="241" spans="2:49" ht="17.25" thickTop="1" thickBot="1" x14ac:dyDescent="0.3">
      <c r="B241" s="1034"/>
      <c r="C241" s="1135"/>
      <c r="D241" s="996" t="s">
        <v>60</v>
      </c>
      <c r="E241" s="1087">
        <f>SUM(E231:E240)</f>
        <v>2055.0448517694813</v>
      </c>
      <c r="F241" s="1087">
        <f>SUM(F231:F240)</f>
        <v>2107.001669057292</v>
      </c>
      <c r="G241" s="1087">
        <f>SUM(G231:G240)</f>
        <v>2160.2732729672334</v>
      </c>
      <c r="H241" s="1087">
        <f>SUM(H231:H240)</f>
        <v>2187.5997722627931</v>
      </c>
      <c r="I241" s="1088">
        <f>SUM(I231:I240)</f>
        <v>2214.9262715583532</v>
      </c>
      <c r="J241" s="996" t="s">
        <v>60</v>
      </c>
      <c r="K241" s="1087">
        <f>SUM(K231:K240)</f>
        <v>2055.0448517694813</v>
      </c>
      <c r="L241" s="1087">
        <f>SUM(L231:L240)</f>
        <v>2107.001669057292</v>
      </c>
      <c r="M241" s="1087">
        <f>SUM(M231:M240)</f>
        <v>2160.2732729672325</v>
      </c>
      <c r="N241" s="1087">
        <f>SUM(N231:N240)</f>
        <v>2187.5997722627935</v>
      </c>
      <c r="O241" s="1088">
        <f>SUM(O231:O240)</f>
        <v>2214.9262715583536</v>
      </c>
      <c r="P241" s="1137"/>
      <c r="Q241" s="1135"/>
      <c r="R241" s="1135"/>
      <c r="S241" s="1135"/>
      <c r="T241" s="1135"/>
      <c r="U241" s="1135"/>
      <c r="V241" s="1135"/>
      <c r="W241" s="1135"/>
      <c r="X241" s="1135"/>
      <c r="Y241" s="1135"/>
      <c r="Z241" s="1135"/>
      <c r="AA241" s="1135"/>
      <c r="AB241" s="1135"/>
      <c r="AC241" s="1135"/>
      <c r="AD241" s="1135"/>
      <c r="AE241" s="1135"/>
      <c r="AF241" s="1135"/>
      <c r="AG241" s="1135"/>
      <c r="AH241" s="1135"/>
      <c r="AI241" s="1135"/>
      <c r="AJ241" s="1135"/>
      <c r="AK241" s="1135"/>
      <c r="AL241" s="1135"/>
      <c r="AM241" s="1135"/>
      <c r="AN241" s="1135"/>
      <c r="AO241" s="1034"/>
      <c r="AQ241" s="513"/>
      <c r="AR241" s="513"/>
      <c r="AS241" s="513"/>
      <c r="AT241" s="513"/>
    </row>
    <row r="242" spans="2:49" ht="15.75" x14ac:dyDescent="0.25">
      <c r="B242" s="1034"/>
      <c r="C242" s="1135"/>
      <c r="D242" s="1135"/>
      <c r="E242" s="1135"/>
      <c r="F242" s="1135"/>
      <c r="G242" s="1135"/>
      <c r="H242" s="1135"/>
      <c r="I242" s="1135"/>
      <c r="J242" s="1135"/>
      <c r="K242" s="1135"/>
      <c r="L242" s="1135"/>
      <c r="M242" s="1135"/>
      <c r="N242" s="1135"/>
      <c r="O242" s="1135"/>
      <c r="P242" s="1137"/>
      <c r="Q242" s="1135"/>
      <c r="R242" s="1135"/>
      <c r="S242" s="1135"/>
      <c r="T242" s="1135"/>
      <c r="U242" s="1135"/>
      <c r="V242" s="1135"/>
      <c r="W242" s="1135"/>
      <c r="X242" s="1135"/>
      <c r="Y242" s="1135"/>
      <c r="Z242" s="1135"/>
      <c r="AA242" s="1135"/>
      <c r="AB242" s="1135"/>
      <c r="AC242" s="1135"/>
      <c r="AD242" s="1135"/>
      <c r="AE242" s="1135"/>
      <c r="AF242" s="1135"/>
      <c r="AG242" s="1135"/>
      <c r="AH242" s="1135"/>
      <c r="AI242" s="1135"/>
      <c r="AJ242" s="1135"/>
      <c r="AK242" s="1135"/>
      <c r="AL242" s="1135"/>
      <c r="AM242" s="1135"/>
      <c r="AN242" s="1135"/>
      <c r="AO242" s="1034"/>
      <c r="AQ242" s="513"/>
      <c r="AR242" s="513"/>
      <c r="AS242" s="513"/>
      <c r="AT242" s="513"/>
    </row>
    <row r="243" spans="2:49" ht="15.75" thickBot="1" x14ac:dyDescent="0.3">
      <c r="B243" s="1034"/>
      <c r="C243" s="1135"/>
      <c r="D243" s="1135"/>
      <c r="E243" s="1135"/>
      <c r="F243" s="1135"/>
      <c r="G243" s="1135"/>
      <c r="H243" s="1135"/>
      <c r="I243" s="1135"/>
      <c r="J243" s="1135"/>
      <c r="K243" s="1135"/>
      <c r="L243" s="1135"/>
      <c r="M243" s="1135"/>
      <c r="N243" s="1135"/>
      <c r="O243" s="1135"/>
      <c r="P243" s="1138"/>
      <c r="Q243" s="1135"/>
      <c r="R243" s="1135"/>
      <c r="S243" s="1135"/>
      <c r="T243" s="1135"/>
      <c r="U243" s="1135"/>
      <c r="V243" s="1135"/>
      <c r="W243" s="1135"/>
      <c r="X243" s="1135"/>
      <c r="Y243" s="1135"/>
      <c r="Z243" s="1135"/>
      <c r="AA243" s="1135"/>
      <c r="AB243" s="1135"/>
      <c r="AC243" s="1135"/>
      <c r="AD243" s="1135"/>
      <c r="AE243" s="1135"/>
      <c r="AF243" s="1135"/>
      <c r="AG243" s="1135"/>
      <c r="AH243" s="1135"/>
      <c r="AI243" s="1135"/>
      <c r="AJ243" s="1135"/>
      <c r="AK243" s="1135"/>
      <c r="AL243" s="1135"/>
      <c r="AM243" s="1135"/>
      <c r="AN243" s="1135"/>
      <c r="AO243" s="1034"/>
      <c r="AR243" s="513"/>
      <c r="AS243" s="513"/>
      <c r="AT243" s="513"/>
      <c r="AU243" s="513"/>
    </row>
    <row r="244" spans="2:49" x14ac:dyDescent="0.25">
      <c r="B244" s="1034"/>
      <c r="C244" s="1135"/>
      <c r="D244" s="1138"/>
      <c r="E244" s="1138"/>
      <c r="F244" s="1138"/>
      <c r="G244" s="1138"/>
      <c r="H244" s="1138"/>
      <c r="I244" s="1138"/>
      <c r="J244" s="2017" t="s">
        <v>192</v>
      </c>
      <c r="K244" s="2018"/>
      <c r="L244" s="2018"/>
      <c r="M244" s="2018"/>
      <c r="N244" s="2018"/>
      <c r="O244" s="2019"/>
      <c r="P244" s="2026" t="s">
        <v>229</v>
      </c>
      <c r="Q244" s="2027"/>
      <c r="R244" s="2028"/>
      <c r="S244" s="1135"/>
      <c r="T244" s="1135"/>
      <c r="U244" s="1135"/>
      <c r="V244" s="1135"/>
      <c r="W244" s="1135"/>
      <c r="X244" s="1135"/>
      <c r="Y244" s="1135"/>
      <c r="Z244" s="1135"/>
      <c r="AA244" s="1135"/>
      <c r="AB244" s="1135"/>
      <c r="AC244" s="1135"/>
      <c r="AD244" s="1135"/>
      <c r="AE244" s="1135"/>
      <c r="AF244" s="1135"/>
      <c r="AG244" s="1135"/>
      <c r="AH244" s="1135"/>
      <c r="AI244" s="1135"/>
      <c r="AJ244" s="1135"/>
      <c r="AK244" s="1135"/>
      <c r="AL244" s="1135"/>
      <c r="AM244" s="1135"/>
      <c r="AN244" s="1135"/>
      <c r="AO244" s="1034"/>
      <c r="AR244" s="513"/>
      <c r="AS244" s="513"/>
      <c r="AT244" s="513"/>
      <c r="AU244" s="513"/>
    </row>
    <row r="245" spans="2:49" ht="15.75" thickBot="1" x14ac:dyDescent="0.3">
      <c r="B245" s="1034"/>
      <c r="C245" s="1135"/>
      <c r="D245" s="1138"/>
      <c r="E245" s="1138"/>
      <c r="F245" s="1138"/>
      <c r="G245" s="1138"/>
      <c r="H245" s="1138"/>
      <c r="I245" s="1138"/>
      <c r="J245" s="971" t="s">
        <v>391</v>
      </c>
      <c r="K245" s="983">
        <v>2010</v>
      </c>
      <c r="L245" s="983">
        <v>2020</v>
      </c>
      <c r="M245" s="983">
        <v>2030</v>
      </c>
      <c r="N245" s="983">
        <v>2040</v>
      </c>
      <c r="O245" s="984">
        <v>2050</v>
      </c>
      <c r="P245" s="2029"/>
      <c r="Q245" s="2030"/>
      <c r="R245" s="2031"/>
      <c r="S245" s="1135"/>
      <c r="T245" s="1135"/>
      <c r="U245" s="1135"/>
      <c r="V245" s="1135"/>
      <c r="W245" s="1135"/>
      <c r="X245" s="1135"/>
      <c r="Y245" s="1135"/>
      <c r="Z245" s="1135"/>
      <c r="AA245" s="1135"/>
      <c r="AB245" s="1135"/>
      <c r="AC245" s="1135"/>
      <c r="AD245" s="1135"/>
      <c r="AE245" s="1135"/>
      <c r="AF245" s="1135"/>
      <c r="AG245" s="1135"/>
      <c r="AH245" s="1135"/>
      <c r="AI245" s="1135"/>
      <c r="AJ245" s="1135"/>
      <c r="AK245" s="1135"/>
      <c r="AL245" s="1135"/>
      <c r="AM245" s="1135"/>
      <c r="AN245" s="1135"/>
      <c r="AO245" s="1034"/>
      <c r="AT245" s="513"/>
      <c r="AU245" s="513"/>
      <c r="AV245" s="513"/>
      <c r="AW245" s="513"/>
    </row>
    <row r="246" spans="2:49" ht="15.75" x14ac:dyDescent="0.25">
      <c r="B246" s="1034"/>
      <c r="C246" s="1135"/>
      <c r="D246" s="1138"/>
      <c r="E246" s="1138"/>
      <c r="F246" s="1138"/>
      <c r="G246" s="1138"/>
      <c r="H246" s="1138"/>
      <c r="I246" s="1138"/>
      <c r="J246" s="999" t="str">
        <f t="shared" ref="J246:J252" si="101">J187</f>
        <v>Battery electric busses</v>
      </c>
      <c r="K246" s="1089">
        <f t="shared" ref="K246:O247" si="102">K231-E231</f>
        <v>0</v>
      </c>
      <c r="L246" s="1089">
        <f t="shared" si="102"/>
        <v>0</v>
      </c>
      <c r="M246" s="1089">
        <f t="shared" si="102"/>
        <v>0</v>
      </c>
      <c r="N246" s="1089">
        <f t="shared" si="102"/>
        <v>0</v>
      </c>
      <c r="O246" s="1090">
        <f t="shared" si="102"/>
        <v>0</v>
      </c>
      <c r="P246" s="2029"/>
      <c r="Q246" s="2030"/>
      <c r="R246" s="2031"/>
      <c r="S246" s="1135"/>
      <c r="T246" s="1135"/>
      <c r="U246" s="1135"/>
      <c r="V246" s="1135"/>
      <c r="W246" s="1135"/>
      <c r="X246" s="1135"/>
      <c r="Y246" s="1135"/>
      <c r="Z246" s="1135"/>
      <c r="AA246" s="1135"/>
      <c r="AB246" s="1135"/>
      <c r="AC246" s="1135"/>
      <c r="AD246" s="1135"/>
      <c r="AE246" s="1135"/>
      <c r="AF246" s="1135"/>
      <c r="AG246" s="1135"/>
      <c r="AH246" s="1135"/>
      <c r="AI246" s="1135"/>
      <c r="AJ246" s="1135"/>
      <c r="AK246" s="1135"/>
      <c r="AL246" s="1135"/>
      <c r="AM246" s="1135"/>
      <c r="AN246" s="1135"/>
      <c r="AO246" s="1034"/>
      <c r="AT246" s="513"/>
      <c r="AU246" s="513"/>
      <c r="AV246" s="513"/>
      <c r="AW246" s="513"/>
    </row>
    <row r="247" spans="2:49" ht="16.5" thickBot="1" x14ac:dyDescent="0.3">
      <c r="B247" s="1034"/>
      <c r="C247" s="1135"/>
      <c r="D247" s="1138"/>
      <c r="E247" s="1138"/>
      <c r="F247" s="1138"/>
      <c r="G247" s="1138"/>
      <c r="H247" s="1138"/>
      <c r="I247" s="1138"/>
      <c r="J247" s="986" t="str">
        <f t="shared" si="101"/>
        <v>Fuel cell hybrid busses (methanol/Synthetic fuel)</v>
      </c>
      <c r="K247" s="1083">
        <f t="shared" si="102"/>
        <v>0</v>
      </c>
      <c r="L247" s="1083">
        <f t="shared" si="102"/>
        <v>0</v>
      </c>
      <c r="M247" s="1083">
        <f t="shared" si="102"/>
        <v>0</v>
      </c>
      <c r="N247" s="1083">
        <f t="shared" si="102"/>
        <v>0</v>
      </c>
      <c r="O247" s="1084">
        <f t="shared" si="102"/>
        <v>0</v>
      </c>
      <c r="P247" s="2032"/>
      <c r="Q247" s="2033"/>
      <c r="R247" s="2034"/>
      <c r="S247" s="1135"/>
      <c r="T247" s="1135"/>
      <c r="U247" s="1135"/>
      <c r="V247" s="1135"/>
      <c r="W247" s="1135"/>
      <c r="X247" s="1135"/>
      <c r="Y247" s="1135"/>
      <c r="Z247" s="1135"/>
      <c r="AA247" s="1135"/>
      <c r="AB247" s="1135"/>
      <c r="AC247" s="1135"/>
      <c r="AD247" s="1135"/>
      <c r="AE247" s="1135"/>
      <c r="AF247" s="1135"/>
      <c r="AG247" s="1135"/>
      <c r="AH247" s="1135"/>
      <c r="AI247" s="1135"/>
      <c r="AJ247" s="1135"/>
      <c r="AK247" s="1135"/>
      <c r="AL247" s="1135"/>
      <c r="AM247" s="1135"/>
      <c r="AN247" s="1135"/>
      <c r="AO247" s="1034"/>
      <c r="AT247" s="513"/>
      <c r="AU247" s="513"/>
      <c r="AV247" s="513"/>
      <c r="AW247" s="513"/>
    </row>
    <row r="248" spans="2:49" ht="15.75" x14ac:dyDescent="0.25">
      <c r="B248" s="1034"/>
      <c r="C248" s="1135"/>
      <c r="D248" s="1138"/>
      <c r="E248" s="1138"/>
      <c r="F248" s="1138"/>
      <c r="G248" s="1138"/>
      <c r="H248" s="1138"/>
      <c r="I248" s="1138"/>
      <c r="J248" s="986" t="str">
        <f t="shared" si="101"/>
        <v>ICE Bio-methanol</v>
      </c>
      <c r="K248" s="1083">
        <f>K233-E233</f>
        <v>-9.0533792342654849</v>
      </c>
      <c r="L248" s="1083">
        <f t="shared" ref="L248:O248" si="103">L233-F233</f>
        <v>-107.42010666938316</v>
      </c>
      <c r="M248" s="1083">
        <f t="shared" si="103"/>
        <v>-110.13602353764811</v>
      </c>
      <c r="N248" s="1083">
        <f t="shared" si="103"/>
        <v>-111.5291954142244</v>
      </c>
      <c r="O248" s="1084">
        <f t="shared" si="103"/>
        <v>-112.92236729080069</v>
      </c>
      <c r="P248" s="1140"/>
      <c r="Q248" s="1135"/>
      <c r="R248" s="1135"/>
      <c r="S248" s="1135"/>
      <c r="T248" s="1135"/>
      <c r="U248" s="1135"/>
      <c r="V248" s="1135"/>
      <c r="W248" s="1135"/>
      <c r="X248" s="1135"/>
      <c r="Y248" s="1135"/>
      <c r="Z248" s="1135"/>
      <c r="AA248" s="1135"/>
      <c r="AB248" s="1135"/>
      <c r="AC248" s="1135"/>
      <c r="AD248" s="1135"/>
      <c r="AE248" s="1135"/>
      <c r="AF248" s="1135"/>
      <c r="AG248" s="1135"/>
      <c r="AH248" s="1135"/>
      <c r="AI248" s="1135"/>
      <c r="AJ248" s="1135"/>
      <c r="AK248" s="1135"/>
      <c r="AL248" s="1135"/>
      <c r="AM248" s="1135"/>
      <c r="AN248" s="1135"/>
      <c r="AO248" s="1034"/>
      <c r="AT248" s="513"/>
      <c r="AU248" s="513"/>
      <c r="AV248" s="513"/>
      <c r="AW248" s="513"/>
    </row>
    <row r="249" spans="2:49" ht="15.75" x14ac:dyDescent="0.25">
      <c r="B249" s="1034"/>
      <c r="C249" s="1135"/>
      <c r="D249" s="1138"/>
      <c r="E249" s="1138"/>
      <c r="F249" s="1138"/>
      <c r="G249" s="1138"/>
      <c r="H249" s="1138"/>
      <c r="I249" s="1138"/>
      <c r="J249" s="986" t="str">
        <f t="shared" si="101"/>
        <v>ICE Hybrid Bio-methanol</v>
      </c>
      <c r="K249" s="1083">
        <f>K234-E234</f>
        <v>0</v>
      </c>
      <c r="L249" s="1083">
        <f>L234-F234</f>
        <v>0</v>
      </c>
      <c r="M249" s="1083">
        <f>M234-G234</f>
        <v>0</v>
      </c>
      <c r="N249" s="1083">
        <f>N234-H234</f>
        <v>0</v>
      </c>
      <c r="O249" s="1084">
        <f>O234-I234</f>
        <v>0</v>
      </c>
      <c r="P249" s="1140"/>
      <c r="Q249" s="1140"/>
      <c r="R249" s="1138"/>
      <c r="S249" s="1135"/>
      <c r="T249" s="1135"/>
      <c r="U249" s="1135"/>
      <c r="V249" s="1135"/>
      <c r="W249" s="1135"/>
      <c r="X249" s="1135"/>
      <c r="Y249" s="1135"/>
      <c r="Z249" s="1135"/>
      <c r="AA249" s="1135"/>
      <c r="AB249" s="1135"/>
      <c r="AC249" s="1135"/>
      <c r="AD249" s="1135"/>
      <c r="AE249" s="1135"/>
      <c r="AF249" s="1135"/>
      <c r="AG249" s="1135"/>
      <c r="AH249" s="1135"/>
      <c r="AI249" s="1135"/>
      <c r="AJ249" s="1135"/>
      <c r="AK249" s="1135"/>
      <c r="AL249" s="1135"/>
      <c r="AM249" s="1135"/>
      <c r="AN249" s="1135"/>
      <c r="AO249" s="1034"/>
      <c r="AT249" s="513"/>
      <c r="AU249" s="513"/>
      <c r="AV249" s="513"/>
      <c r="AW249" s="513"/>
    </row>
    <row r="250" spans="2:49" ht="15.75" x14ac:dyDescent="0.25">
      <c r="B250" s="1034"/>
      <c r="C250" s="1135"/>
      <c r="D250" s="1138"/>
      <c r="E250" s="1138"/>
      <c r="F250" s="1138"/>
      <c r="G250" s="1138"/>
      <c r="H250" s="1138"/>
      <c r="I250" s="1138"/>
      <c r="J250" s="986" t="str">
        <f t="shared" si="101"/>
        <v>ICE Syn-methanol</v>
      </c>
      <c r="K250" s="1083">
        <f>K235-E233</f>
        <v>-9.0533792342654849</v>
      </c>
      <c r="L250" s="1083">
        <f>L235-F233</f>
        <v>-107.42010666938316</v>
      </c>
      <c r="M250" s="1083">
        <f>M235-G233</f>
        <v>-110.13602353764811</v>
      </c>
      <c r="N250" s="1083">
        <f>N235-H233</f>
        <v>-111.5291954142244</v>
      </c>
      <c r="O250" s="1084">
        <f>O235-I233</f>
        <v>-112.92236729080069</v>
      </c>
      <c r="P250" s="1140"/>
      <c r="Q250" s="1140"/>
      <c r="R250" s="1138"/>
      <c r="S250" s="1135"/>
      <c r="T250" s="1135"/>
      <c r="U250" s="1135"/>
      <c r="V250" s="1135"/>
      <c r="W250" s="1135"/>
      <c r="X250" s="1135"/>
      <c r="Y250" s="1135"/>
      <c r="Z250" s="1135"/>
      <c r="AA250" s="1135"/>
      <c r="AB250" s="1135"/>
      <c r="AC250" s="1135"/>
      <c r="AD250" s="1135"/>
      <c r="AE250" s="1135"/>
      <c r="AF250" s="1135"/>
      <c r="AG250" s="1135"/>
      <c r="AH250" s="1135"/>
      <c r="AI250" s="1135"/>
      <c r="AJ250" s="1135"/>
      <c r="AK250" s="1135"/>
      <c r="AL250" s="1135"/>
      <c r="AM250" s="1135"/>
      <c r="AN250" s="1135"/>
      <c r="AO250" s="1034"/>
      <c r="AT250" s="513"/>
      <c r="AU250" s="513"/>
      <c r="AV250" s="513"/>
      <c r="AW250" s="513"/>
    </row>
    <row r="251" spans="2:49" ht="15.75" x14ac:dyDescent="0.25">
      <c r="B251" s="1034"/>
      <c r="C251" s="1135"/>
      <c r="D251" s="1138"/>
      <c r="E251" s="1138"/>
      <c r="F251" s="1138"/>
      <c r="G251" s="1138"/>
      <c r="H251" s="1138"/>
      <c r="I251" s="1138"/>
      <c r="J251" s="986" t="str">
        <f t="shared" si="101"/>
        <v>ICE Hybrid Syn-methanol</v>
      </c>
      <c r="K251" s="1083">
        <f t="shared" ref="K251:O255" si="104">K236-E236</f>
        <v>0</v>
      </c>
      <c r="L251" s="1083">
        <f t="shared" si="104"/>
        <v>0</v>
      </c>
      <c r="M251" s="1083">
        <f t="shared" si="104"/>
        <v>0</v>
      </c>
      <c r="N251" s="1083">
        <f t="shared" si="104"/>
        <v>0</v>
      </c>
      <c r="O251" s="1084">
        <f t="shared" si="104"/>
        <v>0</v>
      </c>
      <c r="P251" s="1140"/>
      <c r="Q251" s="1140"/>
      <c r="R251" s="1138"/>
      <c r="S251" s="1135"/>
      <c r="T251" s="1135"/>
      <c r="U251" s="1135"/>
      <c r="V251" s="1135"/>
      <c r="W251" s="1135"/>
      <c r="X251" s="1135"/>
      <c r="Y251" s="1135"/>
      <c r="Z251" s="1135"/>
      <c r="AA251" s="1135"/>
      <c r="AB251" s="1135"/>
      <c r="AC251" s="1135"/>
      <c r="AD251" s="1135"/>
      <c r="AE251" s="1135"/>
      <c r="AF251" s="1135"/>
      <c r="AG251" s="1135"/>
      <c r="AH251" s="1135"/>
      <c r="AI251" s="1135"/>
      <c r="AJ251" s="1135"/>
      <c r="AK251" s="1135"/>
      <c r="AL251" s="1135"/>
      <c r="AM251" s="1135"/>
      <c r="AN251" s="1135"/>
      <c r="AO251" s="1034"/>
      <c r="AT251" s="513"/>
      <c r="AU251" s="513"/>
      <c r="AV251" s="513"/>
      <c r="AW251" s="513"/>
    </row>
    <row r="252" spans="2:49" ht="15.75" x14ac:dyDescent="0.25">
      <c r="B252" s="1034"/>
      <c r="C252" s="1135"/>
      <c r="D252" s="1138"/>
      <c r="E252" s="1138"/>
      <c r="F252" s="1138"/>
      <c r="G252" s="1135"/>
      <c r="H252" s="1135"/>
      <c r="I252" s="1135"/>
      <c r="J252" s="986" t="str">
        <f t="shared" si="101"/>
        <v>ICE Hybrid Diesel</v>
      </c>
      <c r="K252" s="1083">
        <f t="shared" si="104"/>
        <v>0</v>
      </c>
      <c r="L252" s="1083">
        <f t="shared" si="104"/>
        <v>0</v>
      </c>
      <c r="M252" s="1083">
        <f t="shared" si="104"/>
        <v>0</v>
      </c>
      <c r="N252" s="1083">
        <f t="shared" si="104"/>
        <v>0</v>
      </c>
      <c r="O252" s="1084">
        <f t="shared" si="104"/>
        <v>0</v>
      </c>
      <c r="P252" s="1140"/>
      <c r="Q252" s="1140"/>
      <c r="R252" s="1138"/>
      <c r="S252" s="1135"/>
      <c r="T252" s="1135"/>
      <c r="U252" s="1135"/>
      <c r="V252" s="1135"/>
      <c r="W252" s="1135"/>
      <c r="X252" s="1135"/>
      <c r="Y252" s="1135"/>
      <c r="Z252" s="1135"/>
      <c r="AA252" s="1135"/>
      <c r="AB252" s="1135"/>
      <c r="AC252" s="1135"/>
      <c r="AD252" s="1135"/>
      <c r="AE252" s="1135"/>
      <c r="AF252" s="1135"/>
      <c r="AG252" s="1135"/>
      <c r="AH252" s="1135"/>
      <c r="AI252" s="1135"/>
      <c r="AJ252" s="1135"/>
      <c r="AK252" s="1135"/>
      <c r="AL252" s="1135"/>
      <c r="AM252" s="1135"/>
      <c r="AN252" s="1135"/>
      <c r="AO252" s="1034"/>
      <c r="AT252" s="513"/>
      <c r="AU252" s="513"/>
      <c r="AV252" s="513"/>
      <c r="AW252" s="513"/>
    </row>
    <row r="253" spans="2:49" ht="15.75" x14ac:dyDescent="0.25">
      <c r="B253" s="1034"/>
      <c r="C253" s="1135"/>
      <c r="D253" s="1138"/>
      <c r="E253" s="1138"/>
      <c r="F253" s="1138"/>
      <c r="G253" s="1135"/>
      <c r="H253" s="1135"/>
      <c r="I253" s="1135"/>
      <c r="J253" s="986" t="s">
        <v>483</v>
      </c>
      <c r="K253" s="1083">
        <f t="shared" si="104"/>
        <v>0</v>
      </c>
      <c r="L253" s="1083">
        <f t="shared" si="104"/>
        <v>0</v>
      </c>
      <c r="M253" s="1083">
        <f t="shared" si="104"/>
        <v>0</v>
      </c>
      <c r="N253" s="1083">
        <f t="shared" si="104"/>
        <v>0</v>
      </c>
      <c r="O253" s="1084">
        <f t="shared" si="104"/>
        <v>0</v>
      </c>
      <c r="P253" s="1140"/>
      <c r="Q253" s="1140"/>
      <c r="R253" s="1138"/>
      <c r="S253" s="1135"/>
      <c r="T253" s="1135"/>
      <c r="U253" s="1135"/>
      <c r="V253" s="1135"/>
      <c r="W253" s="1135"/>
      <c r="X253" s="1135"/>
      <c r="Y253" s="1135"/>
      <c r="Z253" s="1135"/>
      <c r="AA253" s="1135"/>
      <c r="AB253" s="1135"/>
      <c r="AC253" s="1135"/>
      <c r="AD253" s="1135"/>
      <c r="AE253" s="1135"/>
      <c r="AF253" s="1135"/>
      <c r="AG253" s="1135"/>
      <c r="AH253" s="1135"/>
      <c r="AI253" s="1135"/>
      <c r="AJ253" s="1135"/>
      <c r="AK253" s="1135"/>
      <c r="AL253" s="1135"/>
      <c r="AM253" s="1135"/>
      <c r="AN253" s="1135"/>
      <c r="AO253" s="1034"/>
      <c r="AT253" s="513"/>
      <c r="AU253" s="513"/>
      <c r="AV253" s="513"/>
      <c r="AW253" s="513"/>
    </row>
    <row r="254" spans="2:49" ht="15.75" x14ac:dyDescent="0.25">
      <c r="B254" s="1034"/>
      <c r="C254" s="1135"/>
      <c r="D254" s="1138"/>
      <c r="E254" s="1138"/>
      <c r="F254" s="1138"/>
      <c r="G254" s="1135"/>
      <c r="H254" s="1135"/>
      <c r="I254" s="1135"/>
      <c r="J254" s="986" t="str">
        <f t="shared" ref="J254" si="105">J195</f>
        <v>ICE Diesel</v>
      </c>
      <c r="K254" s="1083">
        <f t="shared" si="104"/>
        <v>-2045.9914725352157</v>
      </c>
      <c r="L254" s="1083">
        <f t="shared" si="104"/>
        <v>-1999.5815623879087</v>
      </c>
      <c r="M254" s="1083">
        <f t="shared" si="104"/>
        <v>-2050.1372494295852</v>
      </c>
      <c r="N254" s="1083">
        <f t="shared" si="104"/>
        <v>-2076.0705768485686</v>
      </c>
      <c r="O254" s="1084">
        <f t="shared" si="104"/>
        <v>-2102.0039042675526</v>
      </c>
      <c r="P254" s="1140"/>
      <c r="Q254" s="1140"/>
      <c r="R254" s="1138"/>
      <c r="S254" s="1135"/>
      <c r="T254" s="1135"/>
      <c r="U254" s="1135"/>
      <c r="V254" s="1135"/>
      <c r="W254" s="1135"/>
      <c r="X254" s="1135"/>
      <c r="Y254" s="1135"/>
      <c r="Z254" s="1135"/>
      <c r="AA254" s="1135"/>
      <c r="AB254" s="1135"/>
      <c r="AC254" s="1135"/>
      <c r="AD254" s="1135"/>
      <c r="AE254" s="1135"/>
      <c r="AF254" s="1135"/>
      <c r="AG254" s="1135"/>
      <c r="AH254" s="1135"/>
      <c r="AI254" s="1135"/>
      <c r="AJ254" s="1135"/>
      <c r="AK254" s="1135"/>
      <c r="AL254" s="1135"/>
      <c r="AM254" s="1135"/>
      <c r="AN254" s="1135"/>
      <c r="AO254" s="1034"/>
      <c r="AT254" s="513"/>
      <c r="AU254" s="513"/>
      <c r="AV254" s="513"/>
      <c r="AW254" s="513"/>
    </row>
    <row r="255" spans="2:49" ht="16.5" thickBot="1" x14ac:dyDescent="0.3">
      <c r="B255" s="1034"/>
      <c r="C255" s="1135"/>
      <c r="D255" s="1138"/>
      <c r="E255" s="1138"/>
      <c r="F255" s="1138"/>
      <c r="G255" s="1135"/>
      <c r="H255" s="1135"/>
      <c r="I255" s="1135"/>
      <c r="J255" s="994" t="s">
        <v>57</v>
      </c>
      <c r="K255" s="1091">
        <f t="shared" si="104"/>
        <v>2055.0448517694813</v>
      </c>
      <c r="L255" s="1091">
        <f t="shared" si="104"/>
        <v>2107.001669057292</v>
      </c>
      <c r="M255" s="1091">
        <f t="shared" si="104"/>
        <v>2160.2732729672325</v>
      </c>
      <c r="N255" s="1091">
        <f t="shared" si="104"/>
        <v>2187.5997722627935</v>
      </c>
      <c r="O255" s="1092">
        <f t="shared" si="104"/>
        <v>2214.9262715583536</v>
      </c>
      <c r="P255" s="1140"/>
      <c r="Q255" s="1140"/>
      <c r="R255" s="1138"/>
      <c r="S255" s="1135"/>
      <c r="T255" s="1135"/>
      <c r="U255" s="1135"/>
      <c r="V255" s="1135"/>
      <c r="W255" s="1135"/>
      <c r="X255" s="1135"/>
      <c r="Y255" s="1135"/>
      <c r="Z255" s="1135"/>
      <c r="AA255" s="1135"/>
      <c r="AB255" s="1135"/>
      <c r="AC255" s="1135"/>
      <c r="AD255" s="1135"/>
      <c r="AE255" s="1135"/>
      <c r="AF255" s="1135"/>
      <c r="AG255" s="1135"/>
      <c r="AH255" s="1135"/>
      <c r="AI255" s="1135"/>
      <c r="AJ255" s="1135"/>
      <c r="AK255" s="1135"/>
      <c r="AL255" s="1135"/>
      <c r="AM255" s="1135"/>
      <c r="AN255" s="1135"/>
      <c r="AO255" s="1034"/>
      <c r="AT255" s="513"/>
      <c r="AU255" s="513"/>
      <c r="AV255" s="513"/>
      <c r="AW255" s="513"/>
    </row>
    <row r="256" spans="2:49" ht="17.25" thickTop="1" thickBot="1" x14ac:dyDescent="0.3">
      <c r="B256" s="1034"/>
      <c r="C256" s="1135"/>
      <c r="D256" s="1138"/>
      <c r="E256" s="1138"/>
      <c r="F256" s="1138"/>
      <c r="G256" s="1135"/>
      <c r="H256" s="1135"/>
      <c r="I256" s="1135"/>
      <c r="J256" s="996" t="s">
        <v>60</v>
      </c>
      <c r="K256" s="1087">
        <f>SUM(K246:K255)</f>
        <v>-9.0533792342653214</v>
      </c>
      <c r="L256" s="1087">
        <f>SUM(L246:L255)</f>
        <v>-107.42010666938313</v>
      </c>
      <c r="M256" s="1087">
        <f>SUM(M246:M255)</f>
        <v>-110.13602353764873</v>
      </c>
      <c r="N256" s="1087">
        <f>SUM(N246:N255)</f>
        <v>-111.52919541422398</v>
      </c>
      <c r="O256" s="1088">
        <f>SUM(O246:O255)</f>
        <v>-112.92236729080014</v>
      </c>
      <c r="P256" s="1140"/>
      <c r="Q256" s="1140"/>
      <c r="R256" s="1138"/>
      <c r="S256" s="1135"/>
      <c r="T256" s="1135"/>
      <c r="U256" s="1135"/>
      <c r="V256" s="1135"/>
      <c r="W256" s="1135"/>
      <c r="X256" s="1135"/>
      <c r="Y256" s="1135"/>
      <c r="Z256" s="1135"/>
      <c r="AA256" s="1135"/>
      <c r="AB256" s="1135"/>
      <c r="AC256" s="1135"/>
      <c r="AD256" s="1135"/>
      <c r="AE256" s="1135"/>
      <c r="AF256" s="1135"/>
      <c r="AG256" s="1135"/>
      <c r="AH256" s="1135"/>
      <c r="AI256" s="1135"/>
      <c r="AJ256" s="1135"/>
      <c r="AK256" s="1135"/>
      <c r="AL256" s="1135"/>
      <c r="AM256" s="1135"/>
      <c r="AN256" s="1135"/>
      <c r="AO256" s="1034"/>
      <c r="AT256" s="513"/>
      <c r="AU256" s="513"/>
      <c r="AV256" s="513"/>
      <c r="AW256" s="513"/>
    </row>
    <row r="257" spans="2:56" x14ac:dyDescent="0.25">
      <c r="B257" s="1034"/>
      <c r="C257" s="1135"/>
      <c r="D257" s="1135"/>
      <c r="E257" s="1135"/>
      <c r="F257" s="1135"/>
      <c r="G257" s="1135"/>
      <c r="H257" s="1135"/>
      <c r="I257" s="1135"/>
      <c r="J257" s="1135"/>
      <c r="K257" s="1135"/>
      <c r="L257" s="1135"/>
      <c r="M257" s="1135"/>
      <c r="N257" s="1135"/>
      <c r="O257" s="1135"/>
      <c r="P257" s="1135"/>
      <c r="Q257" s="1135"/>
      <c r="R257" s="1138"/>
      <c r="S257" s="1135"/>
      <c r="T257" s="1135"/>
      <c r="U257" s="1135"/>
      <c r="V257" s="1135"/>
      <c r="W257" s="1135"/>
      <c r="X257" s="1135"/>
      <c r="Y257" s="1135"/>
      <c r="Z257" s="1135"/>
      <c r="AA257" s="1135"/>
      <c r="AB257" s="1135"/>
      <c r="AC257" s="1135"/>
      <c r="AD257" s="1135"/>
      <c r="AE257" s="1135"/>
      <c r="AF257" s="1135"/>
      <c r="AG257" s="1135"/>
      <c r="AH257" s="1135"/>
      <c r="AI257" s="1135"/>
      <c r="AJ257" s="1135"/>
      <c r="AK257" s="1135"/>
      <c r="AL257" s="1135"/>
      <c r="AM257" s="1135"/>
      <c r="AN257" s="1135"/>
      <c r="AO257" s="1034"/>
      <c r="AT257" s="513"/>
      <c r="AU257" s="513"/>
      <c r="AV257" s="513"/>
      <c r="AW257" s="513"/>
    </row>
    <row r="258" spans="2:56" x14ac:dyDescent="0.25">
      <c r="B258" s="1034"/>
      <c r="C258" s="1135"/>
      <c r="D258" s="1135"/>
      <c r="E258" s="1135"/>
      <c r="F258" s="1135"/>
      <c r="G258" s="1135"/>
      <c r="H258" s="1135"/>
      <c r="I258" s="1135"/>
      <c r="J258" s="1135"/>
      <c r="K258" s="1135"/>
      <c r="L258" s="1135"/>
      <c r="M258" s="1135"/>
      <c r="N258" s="1135"/>
      <c r="O258" s="1135"/>
      <c r="P258" s="1139"/>
      <c r="Q258" s="1139"/>
      <c r="R258" s="1138"/>
      <c r="S258" s="1135"/>
      <c r="T258" s="1135"/>
      <c r="U258" s="1135"/>
      <c r="V258" s="1135"/>
      <c r="W258" s="1135"/>
      <c r="X258" s="1135"/>
      <c r="Y258" s="1135"/>
      <c r="Z258" s="1135"/>
      <c r="AA258" s="1135"/>
      <c r="AB258" s="1135"/>
      <c r="AC258" s="1135"/>
      <c r="AD258" s="1135"/>
      <c r="AE258" s="1135"/>
      <c r="AF258" s="1135"/>
      <c r="AG258" s="1135"/>
      <c r="AH258" s="1135"/>
      <c r="AI258" s="1135"/>
      <c r="AJ258" s="1135"/>
      <c r="AK258" s="1135"/>
      <c r="AL258" s="1135"/>
      <c r="AM258" s="1135"/>
      <c r="AN258" s="1135"/>
      <c r="AO258" s="1034"/>
    </row>
    <row r="259" spans="2:56" x14ac:dyDescent="0.25">
      <c r="B259" s="1034"/>
      <c r="C259" s="1135"/>
      <c r="D259" s="1135"/>
      <c r="E259" s="1135"/>
      <c r="F259" s="1135"/>
      <c r="G259" s="1135"/>
      <c r="H259" s="1135"/>
      <c r="I259" s="1135"/>
      <c r="J259" s="1135"/>
      <c r="K259" s="1135"/>
      <c r="L259" s="1135"/>
      <c r="M259" s="1135"/>
      <c r="N259" s="1135"/>
      <c r="O259" s="1135"/>
      <c r="P259" s="1139"/>
      <c r="Q259" s="1139"/>
      <c r="R259" s="1138"/>
      <c r="S259" s="1135"/>
      <c r="T259" s="1135"/>
      <c r="U259" s="1135"/>
      <c r="V259" s="1135"/>
      <c r="W259" s="1135"/>
      <c r="X259" s="1135"/>
      <c r="Y259" s="1135"/>
      <c r="Z259" s="1135"/>
      <c r="AA259" s="1135"/>
      <c r="AB259" s="1135"/>
      <c r="AC259" s="1135"/>
      <c r="AD259" s="1135"/>
      <c r="AE259" s="1135"/>
      <c r="AF259" s="1135"/>
      <c r="AG259" s="1135"/>
      <c r="AH259" s="1135"/>
      <c r="AI259" s="1135"/>
      <c r="AJ259" s="1135"/>
      <c r="AK259" s="1135"/>
      <c r="AL259" s="1135"/>
      <c r="AM259" s="1135"/>
      <c r="AN259" s="1135"/>
      <c r="AO259" s="1034"/>
    </row>
    <row r="260" spans="2:56" ht="15.75" thickBot="1" x14ac:dyDescent="0.3">
      <c r="B260" s="1034"/>
      <c r="C260" s="1135"/>
      <c r="D260" s="1135"/>
      <c r="E260" s="1135"/>
      <c r="F260" s="1135"/>
      <c r="G260" s="1135"/>
      <c r="H260" s="1135"/>
      <c r="I260" s="1135"/>
      <c r="J260" s="1135"/>
      <c r="K260" s="1135"/>
      <c r="L260" s="1135"/>
      <c r="M260" s="1135"/>
      <c r="N260" s="1135"/>
      <c r="O260" s="1135"/>
      <c r="P260" s="1140"/>
      <c r="Q260" s="1140"/>
      <c r="R260" s="1138"/>
      <c r="S260" s="1135"/>
      <c r="T260" s="1135"/>
      <c r="U260" s="1135"/>
      <c r="V260" s="1135"/>
      <c r="W260" s="1135"/>
      <c r="X260" s="1135"/>
      <c r="Y260" s="1135"/>
      <c r="Z260" s="1135"/>
      <c r="AA260" s="1135"/>
      <c r="AB260" s="1135"/>
      <c r="AC260" s="1135"/>
      <c r="AD260" s="1135"/>
      <c r="AE260" s="1135"/>
      <c r="AF260" s="1135"/>
      <c r="AG260" s="1135"/>
      <c r="AH260" s="1135"/>
      <c r="AI260" s="1135"/>
      <c r="AJ260" s="1135"/>
      <c r="AK260" s="1135"/>
      <c r="AL260" s="1135"/>
      <c r="AM260" s="1135"/>
      <c r="AN260" s="1135"/>
      <c r="AO260" s="1034"/>
    </row>
    <row r="261" spans="2:56" ht="21.75" thickBot="1" x14ac:dyDescent="0.3">
      <c r="B261" s="1044"/>
      <c r="C261" s="2012" t="s">
        <v>154</v>
      </c>
      <c r="D261" s="2012"/>
      <c r="E261" s="2012"/>
      <c r="F261" s="2012"/>
      <c r="G261" s="2012"/>
      <c r="H261" s="2012"/>
      <c r="I261" s="2012"/>
      <c r="J261" s="2012"/>
      <c r="K261" s="2012"/>
      <c r="L261" s="2012"/>
      <c r="M261" s="2012"/>
      <c r="N261" s="2012"/>
      <c r="O261" s="2012"/>
      <c r="P261" s="2012"/>
      <c r="Q261" s="2012"/>
      <c r="R261" s="2012"/>
      <c r="S261" s="2012"/>
      <c r="T261" s="2012"/>
      <c r="U261" s="2012"/>
      <c r="V261" s="2012"/>
      <c r="W261" s="2012"/>
      <c r="X261" s="2012"/>
      <c r="Y261" s="2012"/>
      <c r="Z261" s="2012"/>
      <c r="AA261" s="2012"/>
      <c r="AB261" s="2012"/>
      <c r="AC261" s="2012"/>
      <c r="AD261" s="2012"/>
      <c r="AE261" s="2012"/>
      <c r="AF261" s="2012"/>
      <c r="AG261" s="2012"/>
      <c r="AH261" s="2012"/>
      <c r="AI261" s="2012"/>
      <c r="AJ261" s="2012"/>
      <c r="AK261" s="2012"/>
      <c r="AL261" s="2012"/>
      <c r="AM261" s="2012"/>
      <c r="AN261" s="2012"/>
      <c r="AO261" s="1045"/>
    </row>
    <row r="262" spans="2:56" x14ac:dyDescent="0.25">
      <c r="P262" s="991"/>
      <c r="Q262" s="991"/>
      <c r="R262" s="513"/>
    </row>
    <row r="263" spans="2:56" ht="15.75" thickBot="1" x14ac:dyDescent="0.3">
      <c r="P263" s="991"/>
      <c r="Q263" s="991"/>
      <c r="R263" s="513"/>
    </row>
    <row r="264" spans="2:56" ht="21.75" thickBot="1" x14ac:dyDescent="0.3">
      <c r="B264" s="1046"/>
      <c r="C264" s="2013" t="s">
        <v>144</v>
      </c>
      <c r="D264" s="2013"/>
      <c r="E264" s="2013"/>
      <c r="F264" s="2013"/>
      <c r="G264" s="2013"/>
      <c r="H264" s="2013"/>
      <c r="I264" s="2013"/>
      <c r="J264" s="2013"/>
      <c r="K264" s="2013"/>
      <c r="L264" s="2013"/>
      <c r="M264" s="2013"/>
      <c r="N264" s="2013"/>
      <c r="O264" s="2013"/>
      <c r="P264" s="2013"/>
      <c r="Q264" s="2013"/>
      <c r="R264" s="2013"/>
      <c r="S264" s="2013"/>
      <c r="T264" s="2013"/>
      <c r="U264" s="2013"/>
      <c r="V264" s="2013"/>
      <c r="W264" s="2013"/>
      <c r="X264" s="2013"/>
      <c r="Y264" s="2013"/>
      <c r="Z264" s="2013"/>
      <c r="AA264" s="2013"/>
      <c r="AB264" s="2013"/>
      <c r="AC264" s="2013"/>
      <c r="AD264" s="2013"/>
      <c r="AE264" s="2013"/>
      <c r="AF264" s="2013"/>
      <c r="AG264" s="2013"/>
      <c r="AH264" s="2013"/>
      <c r="AI264" s="2013"/>
      <c r="AJ264" s="2013"/>
      <c r="AK264" s="2013"/>
      <c r="AL264" s="2013"/>
      <c r="AM264" s="2013"/>
      <c r="AN264" s="2013"/>
      <c r="AO264" s="1047"/>
    </row>
    <row r="265" spans="2:56" ht="15.75" thickBot="1" x14ac:dyDescent="0.3">
      <c r="B265" s="1048"/>
      <c r="C265" s="958"/>
      <c r="D265" s="958"/>
      <c r="E265" s="958"/>
      <c r="F265" s="958"/>
      <c r="G265" s="958"/>
      <c r="H265" s="958"/>
      <c r="I265" s="958"/>
      <c r="J265" s="958"/>
      <c r="K265" s="958"/>
      <c r="L265" s="958"/>
      <c r="M265" s="958"/>
      <c r="N265" s="958"/>
      <c r="O265" s="958"/>
      <c r="P265" s="1144"/>
      <c r="Q265" s="1144"/>
      <c r="R265" s="1142"/>
      <c r="S265" s="958"/>
      <c r="T265" s="958"/>
      <c r="U265" s="958"/>
      <c r="V265" s="958"/>
      <c r="W265" s="958"/>
      <c r="X265" s="958"/>
      <c r="Y265" s="958"/>
      <c r="Z265" s="958"/>
      <c r="AA265" s="958"/>
      <c r="AB265" s="958"/>
      <c r="AC265" s="958"/>
      <c r="AD265" s="958"/>
      <c r="AE265" s="958"/>
      <c r="AF265" s="958"/>
      <c r="AG265" s="958"/>
      <c r="AH265" s="958"/>
      <c r="AI265" s="958"/>
      <c r="AJ265" s="958"/>
      <c r="AK265" s="958"/>
      <c r="AL265" s="958"/>
      <c r="AM265" s="958"/>
      <c r="AN265" s="958"/>
      <c r="AO265" s="1048"/>
    </row>
    <row r="266" spans="2:56" ht="15.75" thickBot="1" x14ac:dyDescent="0.3">
      <c r="B266" s="1048"/>
      <c r="C266" s="958"/>
      <c r="D266" s="2014" t="s">
        <v>45</v>
      </c>
      <c r="E266" s="2015"/>
      <c r="F266" s="2015"/>
      <c r="G266" s="2015"/>
      <c r="H266" s="2015"/>
      <c r="I266" s="2016"/>
      <c r="J266" s="2008" t="s">
        <v>226</v>
      </c>
      <c r="K266" s="2009"/>
      <c r="L266" s="2009"/>
      <c r="M266" s="2009"/>
      <c r="N266" s="2009"/>
      <c r="O266" s="2010"/>
      <c r="P266" s="1144"/>
      <c r="Q266" s="1144"/>
      <c r="R266" s="1142"/>
      <c r="S266" s="958"/>
      <c r="T266" s="958"/>
      <c r="U266" s="958"/>
      <c r="V266" s="958"/>
      <c r="W266" s="958"/>
      <c r="X266" s="958"/>
      <c r="Y266" s="958"/>
      <c r="Z266" s="958"/>
      <c r="AA266" s="958"/>
      <c r="AB266" s="958"/>
      <c r="AC266" s="958"/>
      <c r="AD266" s="958"/>
      <c r="AE266" s="958"/>
      <c r="AF266" s="958"/>
      <c r="AG266" s="958"/>
      <c r="AH266" s="958"/>
      <c r="AI266" s="958"/>
      <c r="AJ266" s="958"/>
      <c r="AK266" s="958"/>
      <c r="AL266" s="958"/>
      <c r="AM266" s="958"/>
      <c r="AN266" s="958"/>
      <c r="AO266" s="1048"/>
    </row>
    <row r="267" spans="2:56" ht="15.75" thickBot="1" x14ac:dyDescent="0.3">
      <c r="B267" s="1048"/>
      <c r="C267" s="958"/>
      <c r="D267" s="958"/>
      <c r="E267" s="958"/>
      <c r="F267" s="958"/>
      <c r="G267" s="958"/>
      <c r="H267" s="958"/>
      <c r="I267" s="958"/>
      <c r="J267" s="958"/>
      <c r="K267" s="958"/>
      <c r="L267" s="958"/>
      <c r="M267" s="958"/>
      <c r="N267" s="958"/>
      <c r="O267" s="958"/>
      <c r="P267" s="1144"/>
      <c r="Q267" s="1144"/>
      <c r="R267" s="1142"/>
      <c r="S267" s="958"/>
      <c r="T267" s="958"/>
      <c r="U267" s="958"/>
      <c r="V267" s="958"/>
      <c r="W267" s="958"/>
      <c r="X267" s="958"/>
      <c r="Y267" s="958"/>
      <c r="Z267" s="958"/>
      <c r="AA267" s="958"/>
      <c r="AB267" s="958"/>
      <c r="AC267" s="958"/>
      <c r="AD267" s="958"/>
      <c r="AE267" s="958"/>
      <c r="AF267" s="958"/>
      <c r="AG267" s="958"/>
      <c r="AH267" s="958"/>
      <c r="AI267" s="958"/>
      <c r="AJ267" s="958"/>
      <c r="AK267" s="958"/>
      <c r="AL267" s="958"/>
      <c r="AM267" s="958"/>
      <c r="AN267" s="958"/>
      <c r="AO267" s="1048"/>
    </row>
    <row r="268" spans="2:56" ht="15.75" thickBot="1" x14ac:dyDescent="0.3">
      <c r="B268" s="1048"/>
      <c r="C268" s="958"/>
      <c r="D268" s="2014" t="s">
        <v>232</v>
      </c>
      <c r="E268" s="2015">
        <v>2010</v>
      </c>
      <c r="F268" s="2015">
        <v>2020</v>
      </c>
      <c r="G268" s="2015">
        <v>2030</v>
      </c>
      <c r="H268" s="2015">
        <v>2040</v>
      </c>
      <c r="I268" s="2016">
        <v>2050</v>
      </c>
      <c r="J268" s="2008" t="s">
        <v>184</v>
      </c>
      <c r="K268" s="2009">
        <v>2010</v>
      </c>
      <c r="L268" s="2009">
        <v>2020</v>
      </c>
      <c r="M268" s="2009">
        <v>2030</v>
      </c>
      <c r="N268" s="2009">
        <v>2040</v>
      </c>
      <c r="O268" s="2010">
        <v>2050</v>
      </c>
      <c r="P268" s="1142"/>
      <c r="Q268" s="1142"/>
      <c r="R268" s="1142"/>
      <c r="S268" s="958"/>
      <c r="T268" s="958"/>
      <c r="U268" s="958"/>
      <c r="V268" s="958"/>
      <c r="W268" s="958"/>
      <c r="X268" s="958"/>
      <c r="Y268" s="958"/>
      <c r="Z268" s="958"/>
      <c r="AA268" s="958"/>
      <c r="AB268" s="958"/>
      <c r="AC268" s="958"/>
      <c r="AD268" s="958"/>
      <c r="AE268" s="958"/>
      <c r="AF268" s="958"/>
      <c r="AG268" s="958"/>
      <c r="AH268" s="958"/>
      <c r="AI268" s="958"/>
      <c r="AJ268" s="958"/>
      <c r="AK268" s="958"/>
      <c r="AL268" s="958"/>
      <c r="AM268" s="958"/>
      <c r="AN268" s="958"/>
      <c r="AO268" s="1048"/>
      <c r="AT268" s="513"/>
      <c r="AU268" s="513"/>
      <c r="AV268" s="513"/>
      <c r="AW268" s="513"/>
    </row>
    <row r="269" spans="2:56" ht="15.75" thickBot="1" x14ac:dyDescent="0.3">
      <c r="B269" s="1048"/>
      <c r="C269" s="958"/>
      <c r="D269" s="971"/>
      <c r="E269" s="983">
        <v>2010</v>
      </c>
      <c r="F269" s="983">
        <v>2020</v>
      </c>
      <c r="G269" s="983">
        <v>2030</v>
      </c>
      <c r="H269" s="983">
        <v>2040</v>
      </c>
      <c r="I269" s="984">
        <v>2050</v>
      </c>
      <c r="J269" s="983"/>
      <c r="K269" s="983">
        <v>2010</v>
      </c>
      <c r="L269" s="983">
        <v>2020</v>
      </c>
      <c r="M269" s="983">
        <v>2030</v>
      </c>
      <c r="N269" s="983">
        <v>2040</v>
      </c>
      <c r="O269" s="984">
        <v>2050</v>
      </c>
      <c r="P269" s="1142"/>
      <c r="Q269" s="1142"/>
      <c r="R269" s="1142"/>
      <c r="S269" s="1142"/>
      <c r="T269" s="1142"/>
      <c r="U269" s="1142"/>
      <c r="V269" s="1142"/>
      <c r="W269" s="1142"/>
      <c r="X269" s="1142"/>
      <c r="Y269" s="1142"/>
      <c r="Z269" s="1142"/>
      <c r="AA269" s="1142"/>
      <c r="AB269" s="1142"/>
      <c r="AC269" s="1142"/>
      <c r="AD269" s="1142"/>
      <c r="AE269" s="1142"/>
      <c r="AF269" s="1142"/>
      <c r="AG269" s="1142"/>
      <c r="AH269" s="1142"/>
      <c r="AI269" s="1142"/>
      <c r="AJ269" s="1142"/>
      <c r="AK269" s="1142"/>
      <c r="AL269" s="1142"/>
      <c r="AM269" s="1142"/>
      <c r="AN269" s="1142"/>
      <c r="AO269" s="1048"/>
      <c r="AP269" s="513"/>
      <c r="AQ269" s="513"/>
      <c r="AR269" s="513"/>
      <c r="AS269" s="513"/>
      <c r="AT269" s="513"/>
      <c r="AU269" s="513"/>
      <c r="AV269" s="513"/>
      <c r="AW269" s="513"/>
      <c r="AX269" s="513"/>
      <c r="AY269" s="513"/>
      <c r="AZ269" s="513"/>
      <c r="BA269" s="513"/>
      <c r="BB269" s="513"/>
      <c r="BC269" s="513"/>
      <c r="BD269" s="513"/>
    </row>
    <row r="270" spans="2:56" ht="16.5" thickBot="1" x14ac:dyDescent="0.3">
      <c r="B270" s="1048"/>
      <c r="C270" s="958"/>
      <c r="D270" s="1000"/>
      <c r="E270" s="1099"/>
      <c r="F270" s="1099"/>
      <c r="G270" s="1099"/>
      <c r="H270" s="1099"/>
      <c r="I270" s="1100"/>
      <c r="J270" s="1049" t="s">
        <v>56</v>
      </c>
      <c r="K270" s="1108">
        <f>'Scenarios technology'!AR61+'Scenarios technology'!AR73</f>
        <v>69517.993933773512</v>
      </c>
      <c r="L270" s="1108">
        <f>'Scenarios technology'!AR201+'Scenarios technology'!AR213</f>
        <v>71677.467246510569</v>
      </c>
      <c r="M270" s="1108">
        <f>'Scenarios technology'!AR341+'Scenarios technology'!AR353</f>
        <v>74359.093331874436</v>
      </c>
      <c r="N270" s="1108">
        <f t="shared" ref="N270:N281" si="106">(O270-M270)/2+M270</f>
        <v>76187.20229386499</v>
      </c>
      <c r="O270" s="1109">
        <f>'Scenarios technology'!AR481+'Scenarios technology'!AR493</f>
        <v>78015.311255855544</v>
      </c>
      <c r="P270" s="1143"/>
      <c r="Q270" s="1143"/>
      <c r="R270" s="958"/>
      <c r="S270" s="958"/>
      <c r="T270" s="958"/>
      <c r="U270" s="958"/>
      <c r="V270" s="958"/>
      <c r="W270" s="958"/>
      <c r="X270" s="958"/>
      <c r="Y270" s="958"/>
      <c r="Z270" s="958"/>
      <c r="AA270" s="958"/>
      <c r="AB270" s="958"/>
      <c r="AC270" s="958"/>
      <c r="AD270" s="958"/>
      <c r="AE270" s="958"/>
      <c r="AF270" s="958"/>
      <c r="AG270" s="958"/>
      <c r="AH270" s="958"/>
      <c r="AI270" s="958"/>
      <c r="AJ270" s="958"/>
      <c r="AK270" s="958"/>
      <c r="AL270" s="958"/>
      <c r="AM270" s="958"/>
      <c r="AN270" s="958"/>
      <c r="AO270" s="1048"/>
      <c r="AS270" s="513"/>
      <c r="AT270" s="513"/>
      <c r="AU270" s="513"/>
      <c r="AV270" s="513"/>
    </row>
    <row r="271" spans="2:56" ht="15.75" x14ac:dyDescent="0.25">
      <c r="B271" s="1048"/>
      <c r="C271" s="958"/>
      <c r="D271" s="986"/>
      <c r="E271" s="1081"/>
      <c r="F271" s="1081"/>
      <c r="G271" s="1081"/>
      <c r="H271" s="1081"/>
      <c r="I271" s="1082"/>
      <c r="J271" s="988" t="str">
        <f>'Scenarios technology'!U62</f>
        <v>Fuel cell hybrid truck Syn-methanol</v>
      </c>
      <c r="K271" s="1083">
        <f>'Scenarios technology'!AR62+'Scenarios technology'!AR74</f>
        <v>0</v>
      </c>
      <c r="L271" s="1083">
        <f>'Scenarios technology'!AR202+'Scenarios technology'!AR214</f>
        <v>0</v>
      </c>
      <c r="M271" s="1083">
        <f>'Scenarios technology'!AR342+'Scenarios technology'!AR354</f>
        <v>0</v>
      </c>
      <c r="N271" s="1083">
        <f t="shared" si="106"/>
        <v>0</v>
      </c>
      <c r="O271" s="1084">
        <f>'Scenarios technology'!AR482+'Scenarios technology'!AR494</f>
        <v>0</v>
      </c>
      <c r="P271" s="1145"/>
      <c r="Q271" s="1145"/>
      <c r="R271" s="958"/>
      <c r="S271" s="958"/>
      <c r="T271" s="958"/>
      <c r="U271" s="958"/>
      <c r="V271" s="958"/>
      <c r="W271" s="958"/>
      <c r="X271" s="958"/>
      <c r="Y271" s="958"/>
      <c r="Z271" s="958"/>
      <c r="AA271" s="958"/>
      <c r="AB271" s="958"/>
      <c r="AC271" s="958"/>
      <c r="AD271" s="958"/>
      <c r="AE271" s="958"/>
      <c r="AF271" s="958"/>
      <c r="AG271" s="958"/>
      <c r="AH271" s="958"/>
      <c r="AI271" s="958"/>
      <c r="AJ271" s="958"/>
      <c r="AK271" s="958"/>
      <c r="AL271" s="958"/>
      <c r="AM271" s="958"/>
      <c r="AN271" s="958"/>
      <c r="AO271" s="1048"/>
      <c r="AS271" s="513"/>
      <c r="AT271" s="513"/>
      <c r="AU271" s="513"/>
      <c r="AV271" s="513"/>
    </row>
    <row r="272" spans="2:56" ht="15.75" x14ac:dyDescent="0.25">
      <c r="B272" s="1048"/>
      <c r="C272" s="958"/>
      <c r="D272" s="986"/>
      <c r="E272" s="1081"/>
      <c r="F272" s="1081"/>
      <c r="G272" s="1081"/>
      <c r="H272" s="1081"/>
      <c r="I272" s="1082"/>
      <c r="J272" s="988" t="str">
        <f>'Scenarios technology'!U63</f>
        <v>ICE Biogas</v>
      </c>
      <c r="K272" s="1083">
        <f>'Scenarios technology'!AR63+'Scenarios technology'!AR75</f>
        <v>0</v>
      </c>
      <c r="L272" s="1083">
        <f>'Scenarios technology'!AR203+'Scenarios technology'!AR215</f>
        <v>0</v>
      </c>
      <c r="M272" s="1083">
        <f>'Scenarios technology'!AR343+'Scenarios technology'!AR355</f>
        <v>0</v>
      </c>
      <c r="N272" s="1083">
        <f t="shared" si="106"/>
        <v>0</v>
      </c>
      <c r="O272" s="1084">
        <f>'Scenarios technology'!AR483+'Scenarios technology'!AR495</f>
        <v>0</v>
      </c>
      <c r="P272" s="1145"/>
      <c r="Q272" s="1145"/>
      <c r="R272" s="958"/>
      <c r="S272" s="958"/>
      <c r="T272" s="958"/>
      <c r="U272" s="958"/>
      <c r="V272" s="958"/>
      <c r="W272" s="958"/>
      <c r="X272" s="958"/>
      <c r="Y272" s="958"/>
      <c r="Z272" s="958"/>
      <c r="AA272" s="958"/>
      <c r="AB272" s="958"/>
      <c r="AC272" s="958"/>
      <c r="AD272" s="958"/>
      <c r="AE272" s="958"/>
      <c r="AF272" s="958"/>
      <c r="AG272" s="958"/>
      <c r="AH272" s="958"/>
      <c r="AI272" s="958"/>
      <c r="AJ272" s="958"/>
      <c r="AK272" s="958"/>
      <c r="AL272" s="958"/>
      <c r="AM272" s="958"/>
      <c r="AN272" s="958"/>
      <c r="AO272" s="1048"/>
      <c r="AS272" s="513"/>
      <c r="AT272" s="513"/>
      <c r="AU272" s="513"/>
      <c r="AV272" s="513"/>
    </row>
    <row r="273" spans="2:48" ht="15.75" x14ac:dyDescent="0.25">
      <c r="B273" s="1048"/>
      <c r="C273" s="958"/>
      <c r="D273" s="986"/>
      <c r="E273" s="1081"/>
      <c r="F273" s="1081"/>
      <c r="G273" s="1081"/>
      <c r="H273" s="1081"/>
      <c r="I273" s="1082"/>
      <c r="J273" s="988" t="str">
        <f>'Scenarios technology'!U64</f>
        <v>ICE hybrid vehicle Biogas</v>
      </c>
      <c r="K273" s="1083">
        <f>'Scenarios technology'!AR64+'Scenarios technology'!AR76</f>
        <v>0</v>
      </c>
      <c r="L273" s="1083">
        <f>'Scenarios technology'!AR204+'Scenarios technology'!AR216</f>
        <v>0</v>
      </c>
      <c r="M273" s="1083">
        <f>'Scenarios technology'!AR344+'Scenarios technology'!AR356</f>
        <v>0</v>
      </c>
      <c r="N273" s="1083">
        <f t="shared" si="106"/>
        <v>0</v>
      </c>
      <c r="O273" s="1084">
        <f>'Scenarios technology'!AR484+'Scenarios technology'!AR496</f>
        <v>0</v>
      </c>
      <c r="P273" s="1145"/>
      <c r="Q273" s="1145"/>
      <c r="R273" s="958"/>
      <c r="S273" s="958"/>
      <c r="T273" s="958"/>
      <c r="U273" s="958"/>
      <c r="V273" s="958"/>
      <c r="W273" s="958"/>
      <c r="X273" s="958"/>
      <c r="Y273" s="958"/>
      <c r="Z273" s="958"/>
      <c r="AA273" s="958"/>
      <c r="AB273" s="958"/>
      <c r="AC273" s="958"/>
      <c r="AD273" s="958"/>
      <c r="AE273" s="958"/>
      <c r="AF273" s="958"/>
      <c r="AG273" s="958"/>
      <c r="AH273" s="958"/>
      <c r="AI273" s="958"/>
      <c r="AJ273" s="958"/>
      <c r="AK273" s="958"/>
      <c r="AL273" s="958"/>
      <c r="AM273" s="958"/>
      <c r="AN273" s="958"/>
      <c r="AO273" s="1048"/>
      <c r="AS273" s="513"/>
      <c r="AT273" s="513"/>
      <c r="AU273" s="513"/>
      <c r="AV273" s="513"/>
    </row>
    <row r="274" spans="2:48" ht="15.75" x14ac:dyDescent="0.25">
      <c r="B274" s="1048"/>
      <c r="C274" s="958"/>
      <c r="D274" s="986" t="s">
        <v>74</v>
      </c>
      <c r="E274" s="1083">
        <f>'Scenarios technology'!T63+'Scenarios technology'!T75</f>
        <v>306.25743381994914</v>
      </c>
      <c r="F274" s="1083">
        <f>'Scenarios technology'!T203+'Scenarios technology'!T215</f>
        <v>3654.292870520751</v>
      </c>
      <c r="G274" s="1083">
        <f>'Scenarios technology'!T343+'Scenarios technology'!T355</f>
        <v>3791.0087376069278</v>
      </c>
      <c r="H274" s="1083">
        <f>(I274-G274)/2+G274</f>
        <v>3884.2102108587933</v>
      </c>
      <c r="I274" s="1084">
        <f>'Scenarios technology'!T483+'Scenarios technology'!T495</f>
        <v>3977.4116841106588</v>
      </c>
      <c r="J274" s="988" t="str">
        <f>'Scenarios technology'!U65</f>
        <v>ICE Bio-methanol</v>
      </c>
      <c r="K274" s="1083">
        <f>'Scenarios technology'!AR65+'Scenarios technology'!AR77</f>
        <v>0</v>
      </c>
      <c r="L274" s="1083">
        <f>'Scenarios technology'!AR205+'Scenarios technology'!AR217</f>
        <v>0</v>
      </c>
      <c r="M274" s="1083">
        <f>'Scenarios technology'!AR345+'Scenarios technology'!AR357</f>
        <v>0</v>
      </c>
      <c r="N274" s="1083">
        <f t="shared" si="106"/>
        <v>0</v>
      </c>
      <c r="O274" s="1084">
        <f>'Scenarios technology'!AR485+'Scenarios technology'!AR497</f>
        <v>0</v>
      </c>
      <c r="P274" s="1145"/>
      <c r="Q274" s="1145"/>
      <c r="R274" s="958"/>
      <c r="S274" s="958"/>
      <c r="T274" s="958"/>
      <c r="U274" s="958"/>
      <c r="V274" s="958"/>
      <c r="W274" s="958"/>
      <c r="X274" s="958"/>
      <c r="Y274" s="958"/>
      <c r="Z274" s="958"/>
      <c r="AA274" s="958"/>
      <c r="AB274" s="958"/>
      <c r="AC274" s="958"/>
      <c r="AD274" s="958"/>
      <c r="AE274" s="958"/>
      <c r="AF274" s="958"/>
      <c r="AG274" s="958"/>
      <c r="AH274" s="958"/>
      <c r="AI274" s="958"/>
      <c r="AJ274" s="958"/>
      <c r="AK274" s="958"/>
      <c r="AL274" s="958"/>
      <c r="AM274" s="958"/>
      <c r="AN274" s="958"/>
      <c r="AO274" s="1048"/>
      <c r="AS274" s="513"/>
      <c r="AT274" s="513"/>
      <c r="AU274" s="513"/>
      <c r="AV274" s="513"/>
    </row>
    <row r="275" spans="2:48" ht="15.75" x14ac:dyDescent="0.25">
      <c r="B275" s="1048"/>
      <c r="C275" s="958"/>
      <c r="D275" s="986"/>
      <c r="E275" s="1081"/>
      <c r="F275" s="1081"/>
      <c r="G275" s="1081"/>
      <c r="H275" s="1081"/>
      <c r="I275" s="1082"/>
      <c r="J275" s="988" t="str">
        <f>'Scenarios technology'!U66</f>
        <v>ICE hybrid vehicle Bio-methanol</v>
      </c>
      <c r="K275" s="1083">
        <f>'Scenarios technology'!AR66+'Scenarios technology'!AR78</f>
        <v>0</v>
      </c>
      <c r="L275" s="1083">
        <f>'Scenarios technology'!AR206+'Scenarios technology'!AR218</f>
        <v>0</v>
      </c>
      <c r="M275" s="1083">
        <f>'Scenarios technology'!AR346+'Scenarios technology'!AR358</f>
        <v>0</v>
      </c>
      <c r="N275" s="1083">
        <f t="shared" si="106"/>
        <v>0</v>
      </c>
      <c r="O275" s="1084">
        <f>'Scenarios technology'!AR486+'Scenarios technology'!AR498</f>
        <v>0</v>
      </c>
      <c r="P275" s="1145"/>
      <c r="Q275" s="1145"/>
      <c r="R275" s="958"/>
      <c r="S275" s="958"/>
      <c r="T275" s="958"/>
      <c r="U275" s="958"/>
      <c r="V275" s="958"/>
      <c r="W275" s="958"/>
      <c r="X275" s="958"/>
      <c r="Y275" s="958"/>
      <c r="Z275" s="958"/>
      <c r="AA275" s="958"/>
      <c r="AB275" s="958"/>
      <c r="AC275" s="958"/>
      <c r="AD275" s="958"/>
      <c r="AE275" s="958"/>
      <c r="AF275" s="958"/>
      <c r="AG275" s="958"/>
      <c r="AH275" s="958"/>
      <c r="AI275" s="958"/>
      <c r="AJ275" s="958"/>
      <c r="AK275" s="958"/>
      <c r="AL275" s="958"/>
      <c r="AM275" s="958"/>
      <c r="AN275" s="958"/>
      <c r="AO275" s="1048"/>
      <c r="AS275" s="513"/>
      <c r="AT275" s="513"/>
      <c r="AU275" s="513"/>
      <c r="AV275" s="513"/>
    </row>
    <row r="276" spans="2:48" ht="15.75" x14ac:dyDescent="0.25">
      <c r="B276" s="1048"/>
      <c r="C276" s="958"/>
      <c r="D276" s="986"/>
      <c r="E276" s="1081"/>
      <c r="F276" s="1081"/>
      <c r="G276" s="1081"/>
      <c r="H276" s="1081"/>
      <c r="I276" s="1082"/>
      <c r="J276" s="988" t="str">
        <f>'Scenarios technology'!U67</f>
        <v>ICE Diesel Hybrid</v>
      </c>
      <c r="K276" s="1083">
        <f>'Scenarios technology'!AR67+'Scenarios technology'!AR79</f>
        <v>0</v>
      </c>
      <c r="L276" s="1083">
        <f>'Scenarios technology'!AR207+'Scenarios technology'!AR219</f>
        <v>0</v>
      </c>
      <c r="M276" s="1083">
        <f>'Scenarios technology'!AR347+'Scenarios technology'!AR359</f>
        <v>0</v>
      </c>
      <c r="N276" s="1083">
        <f t="shared" si="106"/>
        <v>0</v>
      </c>
      <c r="O276" s="1084">
        <f>'Scenarios technology'!AR487+'Scenarios technology'!AR499</f>
        <v>0</v>
      </c>
      <c r="P276" s="1145"/>
      <c r="Q276" s="1145"/>
      <c r="R276" s="958"/>
      <c r="S276" s="958"/>
      <c r="T276" s="958"/>
      <c r="U276" s="958"/>
      <c r="V276" s="958"/>
      <c r="W276" s="958"/>
      <c r="X276" s="958"/>
      <c r="Y276" s="958"/>
      <c r="Z276" s="958"/>
      <c r="AA276" s="958"/>
      <c r="AB276" s="958"/>
      <c r="AC276" s="958"/>
      <c r="AD276" s="958"/>
      <c r="AE276" s="958"/>
      <c r="AF276" s="958"/>
      <c r="AG276" s="958"/>
      <c r="AH276" s="958"/>
      <c r="AI276" s="958"/>
      <c r="AJ276" s="958"/>
      <c r="AK276" s="958"/>
      <c r="AL276" s="958"/>
      <c r="AM276" s="958"/>
      <c r="AN276" s="958"/>
      <c r="AO276" s="1048"/>
      <c r="AS276" s="513"/>
      <c r="AT276" s="513"/>
      <c r="AU276" s="513"/>
      <c r="AV276" s="513"/>
    </row>
    <row r="277" spans="2:48" ht="15.75" x14ac:dyDescent="0.25">
      <c r="B277" s="1048"/>
      <c r="C277" s="958"/>
      <c r="D277" s="986"/>
      <c r="E277" s="1081"/>
      <c r="F277" s="1081"/>
      <c r="G277" s="1081"/>
      <c r="H277" s="1081"/>
      <c r="I277" s="1082"/>
      <c r="J277" s="986" t="s">
        <v>483</v>
      </c>
      <c r="K277" s="1083">
        <f>'Scenarios technology'!AR69+'Scenarios technology'!AR81</f>
        <v>0</v>
      </c>
      <c r="L277" s="1069">
        <f>'Scenarios technology'!AR209+'Scenarios technology'!AR221</f>
        <v>0</v>
      </c>
      <c r="M277" s="1069">
        <f>'Scenarios technology'!AR349+'Scenarios technology'!AR361</f>
        <v>0</v>
      </c>
      <c r="N277" s="1069">
        <f t="shared" si="106"/>
        <v>0</v>
      </c>
      <c r="O277" s="1070">
        <f>'Scenarios technology'!AR489+'Scenarios technology'!AR501</f>
        <v>0</v>
      </c>
      <c r="P277" s="1145"/>
      <c r="Q277" s="1145"/>
      <c r="R277" s="958"/>
      <c r="S277" s="958"/>
      <c r="T277" s="958"/>
      <c r="U277" s="958"/>
      <c r="V277" s="958"/>
      <c r="W277" s="958"/>
      <c r="X277" s="958"/>
      <c r="Y277" s="958"/>
      <c r="Z277" s="958"/>
      <c r="AA277" s="958"/>
      <c r="AB277" s="958"/>
      <c r="AC277" s="958"/>
      <c r="AD277" s="958"/>
      <c r="AE277" s="958"/>
      <c r="AF277" s="958"/>
      <c r="AG277" s="958"/>
      <c r="AH277" s="958"/>
      <c r="AI277" s="958"/>
      <c r="AJ277" s="958"/>
      <c r="AK277" s="958"/>
      <c r="AL277" s="958"/>
      <c r="AM277" s="958"/>
      <c r="AN277" s="958"/>
      <c r="AO277" s="1048"/>
      <c r="AS277" s="513"/>
      <c r="AT277" s="513"/>
      <c r="AU277" s="513"/>
      <c r="AV277" s="513"/>
    </row>
    <row r="278" spans="2:48" ht="15.75" x14ac:dyDescent="0.25">
      <c r="B278" s="1048"/>
      <c r="C278" s="958"/>
      <c r="D278" s="986" t="s">
        <v>3</v>
      </c>
      <c r="E278" s="1083">
        <f>'Scenarios technology'!T62+'Scenarios technology'!T74</f>
        <v>69211.736499953549</v>
      </c>
      <c r="F278" s="1083">
        <f>'Scenarios technology'!T202+'Scenarios technology'!T214</f>
        <v>68023.174375989824</v>
      </c>
      <c r="G278" s="1083">
        <f>'Scenarios technology'!T342+'Scenarios technology'!T354</f>
        <v>70568.084594267508</v>
      </c>
      <c r="H278" s="1083">
        <f>(I278-G278)/2+G278</f>
        <v>72302.992083006189</v>
      </c>
      <c r="I278" s="1084">
        <f>'Scenarios technology'!T482+'Scenarios technology'!T494</f>
        <v>74037.899571744885</v>
      </c>
      <c r="J278" s="988" t="str">
        <f>'Scenarios technology'!U68</f>
        <v>ICE Diesel</v>
      </c>
      <c r="K278" s="1083">
        <f>'Scenarios technology'!AR68+'Scenarios technology'!AR80</f>
        <v>0</v>
      </c>
      <c r="L278" s="1083">
        <f>'Scenarios technology'!AR208+'Scenarios technology'!AR220</f>
        <v>0</v>
      </c>
      <c r="M278" s="1083">
        <f>'Scenarios technology'!AR348+'Scenarios technology'!AR360</f>
        <v>0</v>
      </c>
      <c r="N278" s="1083">
        <f t="shared" si="106"/>
        <v>0</v>
      </c>
      <c r="O278" s="1084">
        <f>'Scenarios technology'!AR488+'Scenarios technology'!AR500</f>
        <v>0</v>
      </c>
      <c r="P278" s="1145"/>
      <c r="Q278" s="1145"/>
      <c r="R278" s="958"/>
      <c r="S278" s="958"/>
      <c r="T278" s="958"/>
      <c r="U278" s="958"/>
      <c r="V278" s="958"/>
      <c r="W278" s="958"/>
      <c r="X278" s="958"/>
      <c r="Y278" s="958"/>
      <c r="Z278" s="958"/>
      <c r="AA278" s="958"/>
      <c r="AB278" s="958"/>
      <c r="AC278" s="958"/>
      <c r="AD278" s="958"/>
      <c r="AE278" s="958"/>
      <c r="AF278" s="958"/>
      <c r="AG278" s="958"/>
      <c r="AH278" s="958"/>
      <c r="AI278" s="958"/>
      <c r="AJ278" s="958"/>
      <c r="AK278" s="958"/>
      <c r="AL278" s="958"/>
      <c r="AM278" s="958"/>
      <c r="AN278" s="958"/>
      <c r="AO278" s="1048"/>
      <c r="AS278" s="513"/>
      <c r="AT278" s="513"/>
      <c r="AU278" s="513"/>
      <c r="AV278" s="513"/>
    </row>
    <row r="279" spans="2:48" ht="15.75" x14ac:dyDescent="0.25">
      <c r="B279" s="1048"/>
      <c r="C279" s="958"/>
      <c r="D279" s="986"/>
      <c r="E279" s="1081"/>
      <c r="F279" s="1081"/>
      <c r="G279" s="1081"/>
      <c r="H279" s="1081"/>
      <c r="I279" s="1082"/>
      <c r="J279" s="988" t="str">
        <f>'Scenarios technology'!U70</f>
        <v>ICE Syn-methanol</v>
      </c>
      <c r="K279" s="1083">
        <f>'Scenarios technology'!AR70+'Scenarios technology'!AR82</f>
        <v>0</v>
      </c>
      <c r="L279" s="1083">
        <f>'Scenarios technology'!AR210+'Scenarios technology'!AR222</f>
        <v>0</v>
      </c>
      <c r="M279" s="1083">
        <f>'Scenarios technology'!AR350+'Scenarios technology'!AR362</f>
        <v>0</v>
      </c>
      <c r="N279" s="1083">
        <f t="shared" si="106"/>
        <v>0</v>
      </c>
      <c r="O279" s="1084">
        <f>'Scenarios technology'!AR490+'Scenarios technology'!AR502</f>
        <v>0</v>
      </c>
      <c r="P279" s="1145"/>
      <c r="Q279" s="1145"/>
      <c r="R279" s="958"/>
      <c r="S279" s="958"/>
      <c r="T279" s="958"/>
      <c r="U279" s="958"/>
      <c r="V279" s="958"/>
      <c r="W279" s="958"/>
      <c r="X279" s="958"/>
      <c r="Y279" s="958"/>
      <c r="Z279" s="958"/>
      <c r="AA279" s="958"/>
      <c r="AB279" s="958"/>
      <c r="AC279" s="958"/>
      <c r="AD279" s="958"/>
      <c r="AE279" s="958"/>
      <c r="AF279" s="958"/>
      <c r="AG279" s="958"/>
      <c r="AH279" s="958"/>
      <c r="AI279" s="958"/>
      <c r="AJ279" s="958"/>
      <c r="AK279" s="958"/>
      <c r="AL279" s="958"/>
      <c r="AM279" s="958"/>
      <c r="AN279" s="958"/>
      <c r="AO279" s="1048"/>
      <c r="AS279" s="513"/>
      <c r="AT279" s="513"/>
      <c r="AU279" s="513"/>
      <c r="AV279" s="513"/>
    </row>
    <row r="280" spans="2:48" ht="15.75" x14ac:dyDescent="0.25">
      <c r="B280" s="1048"/>
      <c r="C280" s="958"/>
      <c r="D280" s="1004"/>
      <c r="E280" s="634"/>
      <c r="F280" s="634"/>
      <c r="G280" s="634"/>
      <c r="H280" s="634"/>
      <c r="I280" s="987"/>
      <c r="J280" s="988" t="str">
        <f>'Scenarios technology'!U71</f>
        <v>ICE Hybrid Syn-methanol</v>
      </c>
      <c r="K280" s="1083">
        <f>'Scenarios technology'!AR71+'Scenarios technology'!AR83</f>
        <v>0</v>
      </c>
      <c r="L280" s="1083">
        <f>'Scenarios technology'!AR211+'Scenarios technology'!AR223</f>
        <v>0</v>
      </c>
      <c r="M280" s="1083">
        <f>'Scenarios technology'!AR351+'Scenarios technology'!AR363</f>
        <v>0</v>
      </c>
      <c r="N280" s="1083">
        <f t="shared" si="106"/>
        <v>0</v>
      </c>
      <c r="O280" s="1084">
        <f>'Scenarios technology'!AR491+'Scenarios technology'!AR503</f>
        <v>0</v>
      </c>
      <c r="P280" s="1145"/>
      <c r="Q280" s="1145"/>
      <c r="R280" s="958"/>
      <c r="S280" s="958"/>
      <c r="T280" s="958"/>
      <c r="U280" s="958"/>
      <c r="V280" s="958"/>
      <c r="W280" s="958"/>
      <c r="X280" s="958"/>
      <c r="Y280" s="958"/>
      <c r="Z280" s="958"/>
      <c r="AA280" s="958"/>
      <c r="AB280" s="958"/>
      <c r="AC280" s="958"/>
      <c r="AD280" s="958"/>
      <c r="AE280" s="958"/>
      <c r="AF280" s="958"/>
      <c r="AG280" s="958"/>
      <c r="AH280" s="958"/>
      <c r="AI280" s="958"/>
      <c r="AJ280" s="958"/>
      <c r="AK280" s="958"/>
      <c r="AL280" s="958"/>
      <c r="AM280" s="958"/>
      <c r="AN280" s="958"/>
      <c r="AO280" s="1048"/>
      <c r="AS280" s="513"/>
      <c r="AT280" s="513"/>
      <c r="AU280" s="513"/>
      <c r="AV280" s="513"/>
    </row>
    <row r="281" spans="2:48" ht="16.5" thickBot="1" x14ac:dyDescent="0.3">
      <c r="B281" s="1048"/>
      <c r="C281" s="958"/>
      <c r="D281" s="994"/>
      <c r="E281" s="1091"/>
      <c r="F281" s="1091"/>
      <c r="G281" s="1091"/>
      <c r="H281" s="1091"/>
      <c r="I281" s="1092"/>
      <c r="J281" s="1050" t="str">
        <f>'Scenarios technology'!U72</f>
        <v>No shift in technology</v>
      </c>
      <c r="K281" s="1091">
        <f>'Scenarios technology'!AR72+'Scenarios technology'!AR84</f>
        <v>69517.993933773512</v>
      </c>
      <c r="L281" s="1091">
        <f>'Scenarios technology'!AR212+'Scenarios technology'!AR224</f>
        <v>71677.467246510569</v>
      </c>
      <c r="M281" s="1091">
        <f>'Scenarios technology'!AR352+'Scenarios technology'!AR364</f>
        <v>74359.093331874436</v>
      </c>
      <c r="N281" s="1091">
        <f t="shared" si="106"/>
        <v>76187.20229386499</v>
      </c>
      <c r="O281" s="1092">
        <f>'Scenarios technology'!AR492+'Scenarios technology'!AR504</f>
        <v>78015.311255855544</v>
      </c>
      <c r="P281" s="1145"/>
      <c r="Q281" s="1145"/>
      <c r="R281" s="958"/>
      <c r="S281" s="958"/>
      <c r="T281" s="958"/>
      <c r="U281" s="958"/>
      <c r="V281" s="958"/>
      <c r="W281" s="958"/>
      <c r="X281" s="958"/>
      <c r="Y281" s="958"/>
      <c r="Z281" s="958"/>
      <c r="AA281" s="958"/>
      <c r="AB281" s="958"/>
      <c r="AC281" s="958"/>
      <c r="AD281" s="958"/>
      <c r="AE281" s="958"/>
      <c r="AF281" s="958"/>
      <c r="AG281" s="958"/>
      <c r="AH281" s="958"/>
      <c r="AI281" s="958"/>
      <c r="AJ281" s="958"/>
      <c r="AK281" s="958"/>
      <c r="AL281" s="958"/>
      <c r="AM281" s="958"/>
      <c r="AN281" s="958"/>
      <c r="AO281" s="1048"/>
      <c r="AS281" s="513"/>
      <c r="AT281" s="513"/>
      <c r="AU281" s="513"/>
      <c r="AV281" s="513"/>
    </row>
    <row r="282" spans="2:48" ht="17.25" thickTop="1" thickBot="1" x14ac:dyDescent="0.3">
      <c r="B282" s="1048"/>
      <c r="C282" s="958"/>
      <c r="D282" s="996" t="s">
        <v>60</v>
      </c>
      <c r="E282" s="1087">
        <f>'Scenarios technology'!T61+'Scenarios technology'!T73</f>
        <v>69517.993933773512</v>
      </c>
      <c r="F282" s="1087">
        <f>'Scenarios technology'!T201+'Scenarios technology'!T213</f>
        <v>71677.467246510569</v>
      </c>
      <c r="G282" s="1087">
        <f>'Scenarios technology'!T341+'Scenarios technology'!T353</f>
        <v>74359.093331874436</v>
      </c>
      <c r="H282" s="1087">
        <f>(I282-G282)/2+G282</f>
        <v>76187.20229386499</v>
      </c>
      <c r="I282" s="1088">
        <f>'Scenarios technology'!T481+'Scenarios technology'!T493</f>
        <v>78015.311255855544</v>
      </c>
      <c r="J282" s="996"/>
      <c r="K282" s="1110"/>
      <c r="L282" s="1110"/>
      <c r="M282" s="1110"/>
      <c r="N282" s="1110"/>
      <c r="O282" s="1111"/>
      <c r="P282" s="958"/>
      <c r="Q282" s="958"/>
      <c r="R282" s="958"/>
      <c r="S282" s="958"/>
      <c r="T282" s="958"/>
      <c r="U282" s="958"/>
      <c r="V282" s="958"/>
      <c r="W282" s="958"/>
      <c r="X282" s="958"/>
      <c r="Y282" s="958"/>
      <c r="Z282" s="958"/>
      <c r="AA282" s="958"/>
      <c r="AB282" s="958"/>
      <c r="AC282" s="958"/>
      <c r="AD282" s="958"/>
      <c r="AE282" s="958"/>
      <c r="AF282" s="958"/>
      <c r="AG282" s="958"/>
      <c r="AH282" s="958"/>
      <c r="AI282" s="958"/>
      <c r="AJ282" s="958"/>
      <c r="AK282" s="958"/>
      <c r="AL282" s="958"/>
      <c r="AM282" s="958"/>
      <c r="AN282" s="958"/>
      <c r="AO282" s="1048"/>
      <c r="AQ282" s="513"/>
      <c r="AR282" s="513"/>
      <c r="AS282" s="513"/>
      <c r="AT282" s="513"/>
    </row>
    <row r="283" spans="2:48" x14ac:dyDescent="0.25">
      <c r="B283" s="1048"/>
      <c r="C283" s="958"/>
      <c r="D283" s="958"/>
      <c r="E283" s="958"/>
      <c r="F283" s="958"/>
      <c r="G283" s="958"/>
      <c r="H283" s="958"/>
      <c r="I283" s="958"/>
      <c r="J283" s="958"/>
      <c r="K283" s="958"/>
      <c r="L283" s="958"/>
      <c r="M283" s="958"/>
      <c r="N283" s="958"/>
      <c r="O283" s="958"/>
      <c r="P283" s="958"/>
      <c r="Q283" s="958"/>
      <c r="R283" s="958"/>
      <c r="S283" s="958"/>
      <c r="T283" s="958"/>
      <c r="U283" s="958"/>
      <c r="V283" s="958"/>
      <c r="W283" s="958"/>
      <c r="X283" s="958"/>
      <c r="Y283" s="958"/>
      <c r="Z283" s="958"/>
      <c r="AA283" s="958"/>
      <c r="AB283" s="958"/>
      <c r="AC283" s="958"/>
      <c r="AD283" s="958"/>
      <c r="AE283" s="958"/>
      <c r="AF283" s="958"/>
      <c r="AG283" s="958"/>
      <c r="AH283" s="958"/>
      <c r="AI283" s="958"/>
      <c r="AJ283" s="958"/>
      <c r="AK283" s="958"/>
      <c r="AL283" s="958"/>
      <c r="AM283" s="958"/>
      <c r="AN283" s="958"/>
      <c r="AO283" s="1048"/>
      <c r="AQ283" s="513"/>
      <c r="AR283" s="513"/>
      <c r="AS283" s="513"/>
      <c r="AT283" s="513"/>
    </row>
    <row r="284" spans="2:48" ht="15.75" thickBot="1" x14ac:dyDescent="0.3">
      <c r="B284" s="1048"/>
      <c r="C284" s="958"/>
      <c r="D284" s="958"/>
      <c r="E284" s="958"/>
      <c r="F284" s="958"/>
      <c r="G284" s="958"/>
      <c r="H284" s="958"/>
      <c r="I284" s="958"/>
      <c r="J284" s="958"/>
      <c r="K284" s="958"/>
      <c r="L284" s="958"/>
      <c r="M284" s="958"/>
      <c r="N284" s="958"/>
      <c r="O284" s="958"/>
      <c r="P284" s="958"/>
      <c r="Q284" s="958"/>
      <c r="R284" s="958"/>
      <c r="S284" s="958"/>
      <c r="T284" s="958"/>
      <c r="U284" s="958"/>
      <c r="V284" s="958"/>
      <c r="W284" s="958"/>
      <c r="X284" s="958"/>
      <c r="Y284" s="958"/>
      <c r="Z284" s="958"/>
      <c r="AA284" s="958"/>
      <c r="AB284" s="958"/>
      <c r="AC284" s="958"/>
      <c r="AD284" s="958"/>
      <c r="AE284" s="958"/>
      <c r="AF284" s="958"/>
      <c r="AG284" s="958"/>
      <c r="AH284" s="958"/>
      <c r="AI284" s="958"/>
      <c r="AJ284" s="958"/>
      <c r="AK284" s="958"/>
      <c r="AL284" s="958"/>
      <c r="AM284" s="958"/>
      <c r="AN284" s="958"/>
      <c r="AO284" s="1048"/>
      <c r="AQ284" s="513"/>
      <c r="AR284" s="513"/>
      <c r="AS284" s="513"/>
      <c r="AT284" s="513"/>
    </row>
    <row r="285" spans="2:48" ht="15.75" thickBot="1" x14ac:dyDescent="0.3">
      <c r="B285" s="1048"/>
      <c r="C285" s="958"/>
      <c r="D285" s="2014" t="s">
        <v>181</v>
      </c>
      <c r="E285" s="2015">
        <v>2010</v>
      </c>
      <c r="F285" s="2015">
        <v>2020</v>
      </c>
      <c r="G285" s="2015">
        <v>2030</v>
      </c>
      <c r="H285" s="2015">
        <v>2040</v>
      </c>
      <c r="I285" s="2016">
        <v>2050</v>
      </c>
      <c r="J285" s="2008" t="s">
        <v>181</v>
      </c>
      <c r="K285" s="2009">
        <v>2010</v>
      </c>
      <c r="L285" s="2009">
        <v>2020</v>
      </c>
      <c r="M285" s="2009">
        <v>2030</v>
      </c>
      <c r="N285" s="2009">
        <v>2040</v>
      </c>
      <c r="O285" s="2010">
        <v>2050</v>
      </c>
      <c r="P285" s="2014" t="s">
        <v>189</v>
      </c>
      <c r="Q285" s="2015">
        <v>2010</v>
      </c>
      <c r="R285" s="2015">
        <v>2020</v>
      </c>
      <c r="S285" s="2015">
        <v>2030</v>
      </c>
      <c r="T285" s="2015">
        <v>2040</v>
      </c>
      <c r="U285" s="2016">
        <v>2050</v>
      </c>
      <c r="V285" s="2008" t="s">
        <v>189</v>
      </c>
      <c r="W285" s="2009">
        <v>2010</v>
      </c>
      <c r="X285" s="2009">
        <v>2020</v>
      </c>
      <c r="Y285" s="2009">
        <v>2030</v>
      </c>
      <c r="Z285" s="2009">
        <v>2040</v>
      </c>
      <c r="AA285" s="2010">
        <v>2050</v>
      </c>
      <c r="AB285" s="2014" t="s">
        <v>191</v>
      </c>
      <c r="AC285" s="2015">
        <v>2010</v>
      </c>
      <c r="AD285" s="2015">
        <v>2020</v>
      </c>
      <c r="AE285" s="2015">
        <v>2030</v>
      </c>
      <c r="AF285" s="2015">
        <v>2040</v>
      </c>
      <c r="AG285" s="2016">
        <v>2050</v>
      </c>
      <c r="AH285" s="2008" t="s">
        <v>191</v>
      </c>
      <c r="AI285" s="2009">
        <v>2010</v>
      </c>
      <c r="AJ285" s="2009">
        <v>2020</v>
      </c>
      <c r="AK285" s="2009">
        <v>2030</v>
      </c>
      <c r="AL285" s="2009">
        <v>2040</v>
      </c>
      <c r="AM285" s="2010">
        <v>2050</v>
      </c>
      <c r="AN285" s="958"/>
      <c r="AO285" s="1048"/>
      <c r="AQ285" s="513"/>
      <c r="AR285" s="513"/>
      <c r="AS285" s="513"/>
      <c r="AT285" s="513"/>
    </row>
    <row r="286" spans="2:48" ht="15.75" thickBot="1" x14ac:dyDescent="0.3">
      <c r="B286" s="1048"/>
      <c r="C286" s="958"/>
      <c r="D286" s="971" t="s">
        <v>182</v>
      </c>
      <c r="E286" s="983">
        <v>2010</v>
      </c>
      <c r="F286" s="983">
        <v>2020</v>
      </c>
      <c r="G286" s="983">
        <v>2030</v>
      </c>
      <c r="H286" s="983">
        <v>2040</v>
      </c>
      <c r="I286" s="984">
        <v>2050</v>
      </c>
      <c r="J286" s="970" t="s">
        <v>182</v>
      </c>
      <c r="K286" s="634">
        <v>2010</v>
      </c>
      <c r="L286" s="634">
        <v>2020</v>
      </c>
      <c r="M286" s="634">
        <v>2030</v>
      </c>
      <c r="N286" s="634">
        <v>2040</v>
      </c>
      <c r="O286" s="987">
        <v>2050</v>
      </c>
      <c r="P286" s="971" t="s">
        <v>391</v>
      </c>
      <c r="Q286" s="983"/>
      <c r="R286" s="983"/>
      <c r="S286" s="983"/>
      <c r="T286" s="983"/>
      <c r="U286" s="984"/>
      <c r="V286" s="971" t="s">
        <v>391</v>
      </c>
      <c r="W286" s="983"/>
      <c r="X286" s="983"/>
      <c r="Y286" s="983"/>
      <c r="Z286" s="983"/>
      <c r="AA286" s="984"/>
      <c r="AB286" s="971" t="s">
        <v>391</v>
      </c>
      <c r="AC286" s="983"/>
      <c r="AD286" s="983"/>
      <c r="AE286" s="983"/>
      <c r="AF286" s="983"/>
      <c r="AG286" s="984"/>
      <c r="AH286" s="971" t="s">
        <v>391</v>
      </c>
      <c r="AI286" s="983"/>
      <c r="AJ286" s="983"/>
      <c r="AK286" s="983"/>
      <c r="AL286" s="983"/>
      <c r="AM286" s="984"/>
      <c r="AN286" s="958"/>
      <c r="AO286" s="1048"/>
      <c r="AQ286" s="513"/>
      <c r="AR286" s="513"/>
      <c r="AS286" s="513"/>
      <c r="AT286" s="513"/>
    </row>
    <row r="287" spans="2:48" ht="15.75" x14ac:dyDescent="0.25">
      <c r="B287" s="1048"/>
      <c r="C287" s="958"/>
      <c r="D287" s="1000"/>
      <c r="E287" s="1099"/>
      <c r="F287" s="1099"/>
      <c r="G287" s="1099"/>
      <c r="H287" s="1099"/>
      <c r="I287" s="1100"/>
      <c r="J287" s="1000" t="str">
        <f t="shared" ref="J287:J292" si="107">J271</f>
        <v>Fuel cell hybrid truck Syn-methanol</v>
      </c>
      <c r="K287" s="1113">
        <f>K294*(K73/K83)</f>
        <v>9995626.3200101294</v>
      </c>
      <c r="L287" s="1113">
        <f>L294*(L73/L83)</f>
        <v>1952779.3019035114</v>
      </c>
      <c r="M287" s="1113">
        <f>M294*(M73/M83)</f>
        <v>1952779.3019035114</v>
      </c>
      <c r="N287" s="1113">
        <f>N294*(N73/N83)</f>
        <v>1952779.3019035114</v>
      </c>
      <c r="O287" s="1114">
        <f>O294*(O73/O83)</f>
        <v>1952779.3019035114</v>
      </c>
      <c r="P287" s="1000"/>
      <c r="Q287" s="1099"/>
      <c r="R287" s="1099"/>
      <c r="S287" s="1099"/>
      <c r="T287" s="1099"/>
      <c r="U287" s="1100"/>
      <c r="V287" s="1000" t="str">
        <f t="shared" ref="V287:V292" si="108">J271</f>
        <v>Fuel cell hybrid truck Syn-methanol</v>
      </c>
      <c r="W287" s="1089">
        <f t="shared" ref="W287:W297" si="109">K271*K287/1000000</f>
        <v>0</v>
      </c>
      <c r="X287" s="1089">
        <f t="shared" ref="X287:X297" si="110">L271*L287/1000000</f>
        <v>0</v>
      </c>
      <c r="Y287" s="1089">
        <f t="shared" ref="Y287:Y297" si="111">M271*M287/1000000</f>
        <v>0</v>
      </c>
      <c r="Z287" s="1089">
        <f t="shared" ref="Z287:Z297" si="112">N271*N287/1000000</f>
        <v>0</v>
      </c>
      <c r="AA287" s="1090">
        <f t="shared" ref="AA287:AA297" si="113">O271*O287/1000000</f>
        <v>0</v>
      </c>
      <c r="AB287" s="1000"/>
      <c r="AC287" s="1099"/>
      <c r="AD287" s="1099"/>
      <c r="AE287" s="1099"/>
      <c r="AF287" s="1099"/>
      <c r="AG287" s="1100"/>
      <c r="AH287" s="1000" t="str">
        <f t="shared" ref="AH287:AH297" si="114">V287</f>
        <v>Fuel cell hybrid truck Syn-methanol</v>
      </c>
      <c r="AI287" s="1089">
        <f t="shared" ref="AI287:AI297" si="115">-PMT($E$7,$G$7,W287,0,0)</f>
        <v>0</v>
      </c>
      <c r="AJ287" s="1089">
        <f t="shared" ref="AJ287:AJ297" si="116">-PMT($E$7,$G$7,X287,0,0)</f>
        <v>0</v>
      </c>
      <c r="AK287" s="1089">
        <f t="shared" ref="AK287:AK297" si="117">-PMT($E$7,$G$7,Y287,0,0)</f>
        <v>0</v>
      </c>
      <c r="AL287" s="1089">
        <f t="shared" ref="AL287:AL297" si="118">-PMT($E$7,$G$7,Z287,0,0)</f>
        <v>0</v>
      </c>
      <c r="AM287" s="1090">
        <f t="shared" ref="AM287:AM297" si="119">-PMT($E$7,$G$7,AA287,0,0)</f>
        <v>0</v>
      </c>
      <c r="AN287" s="958"/>
      <c r="AO287" s="1048"/>
      <c r="AQ287" s="513"/>
      <c r="AR287" s="513"/>
      <c r="AS287" s="513"/>
      <c r="AT287" s="513"/>
    </row>
    <row r="288" spans="2:48" ht="15.75" x14ac:dyDescent="0.25">
      <c r="B288" s="1048"/>
      <c r="C288" s="958"/>
      <c r="D288" s="986"/>
      <c r="E288" s="1081"/>
      <c r="F288" s="1081"/>
      <c r="G288" s="1081"/>
      <c r="H288" s="1081"/>
      <c r="I288" s="1082"/>
      <c r="J288" s="986" t="str">
        <f t="shared" si="107"/>
        <v>ICE Biogas</v>
      </c>
      <c r="K288" s="1083">
        <v>1346177.8584392001</v>
      </c>
      <c r="L288" s="1083">
        <v>1341179.6733212341</v>
      </c>
      <c r="M288" s="1083">
        <v>1341179.6733212341</v>
      </c>
      <c r="N288" s="1083">
        <v>1341179.6733212341</v>
      </c>
      <c r="O288" s="1084">
        <v>1341179.6733212341</v>
      </c>
      <c r="P288" s="986"/>
      <c r="Q288" s="1081"/>
      <c r="R288" s="1081"/>
      <c r="S288" s="1081"/>
      <c r="T288" s="1081"/>
      <c r="U288" s="1082"/>
      <c r="V288" s="986" t="str">
        <f t="shared" si="108"/>
        <v>ICE Biogas</v>
      </c>
      <c r="W288" s="1083">
        <f t="shared" si="109"/>
        <v>0</v>
      </c>
      <c r="X288" s="1083">
        <f t="shared" si="110"/>
        <v>0</v>
      </c>
      <c r="Y288" s="1083">
        <f t="shared" si="111"/>
        <v>0</v>
      </c>
      <c r="Z288" s="1083">
        <f t="shared" si="112"/>
        <v>0</v>
      </c>
      <c r="AA288" s="1084">
        <f t="shared" si="113"/>
        <v>0</v>
      </c>
      <c r="AB288" s="986"/>
      <c r="AC288" s="1081"/>
      <c r="AD288" s="1081"/>
      <c r="AE288" s="1081"/>
      <c r="AF288" s="1081"/>
      <c r="AG288" s="1082"/>
      <c r="AH288" s="986" t="str">
        <f t="shared" si="114"/>
        <v>ICE Biogas</v>
      </c>
      <c r="AI288" s="1083">
        <f t="shared" si="115"/>
        <v>0</v>
      </c>
      <c r="AJ288" s="1083">
        <f t="shared" si="116"/>
        <v>0</v>
      </c>
      <c r="AK288" s="1083">
        <f t="shared" si="117"/>
        <v>0</v>
      </c>
      <c r="AL288" s="1083">
        <f t="shared" si="118"/>
        <v>0</v>
      </c>
      <c r="AM288" s="1084">
        <f t="shared" si="119"/>
        <v>0</v>
      </c>
      <c r="AN288" s="958"/>
      <c r="AO288" s="1048"/>
      <c r="AQ288" s="513"/>
      <c r="AR288" s="513"/>
      <c r="AS288" s="513"/>
      <c r="AT288" s="513"/>
    </row>
    <row r="289" spans="2:49" ht="15.75" x14ac:dyDescent="0.25">
      <c r="B289" s="1048"/>
      <c r="C289" s="958"/>
      <c r="D289" s="986"/>
      <c r="E289" s="1081"/>
      <c r="F289" s="1081"/>
      <c r="G289" s="1081"/>
      <c r="H289" s="1081"/>
      <c r="I289" s="1082"/>
      <c r="J289" s="986" t="str">
        <f t="shared" si="107"/>
        <v>ICE hybrid vehicle Biogas</v>
      </c>
      <c r="K289" s="1107">
        <f>K288*(K206/K205)</f>
        <v>1528399.5350692691</v>
      </c>
      <c r="L289" s="1107">
        <f>L288*(L206/L205)</f>
        <v>1303908.8227187865</v>
      </c>
      <c r="M289" s="1107">
        <f>M288*(M206/M205)</f>
        <v>1303908.8227187865</v>
      </c>
      <c r="N289" s="1107">
        <f>N288*(N206/N205)</f>
        <v>1303908.8227187865</v>
      </c>
      <c r="O289" s="1112">
        <f>O288*(O206/O205)</f>
        <v>1303908.8227187865</v>
      </c>
      <c r="P289" s="986"/>
      <c r="Q289" s="1101"/>
      <c r="R289" s="1101"/>
      <c r="S289" s="1101"/>
      <c r="T289" s="1101"/>
      <c r="U289" s="1102"/>
      <c r="V289" s="986" t="str">
        <f t="shared" si="108"/>
        <v>ICE hybrid vehicle Biogas</v>
      </c>
      <c r="W289" s="1083">
        <f t="shared" si="109"/>
        <v>0</v>
      </c>
      <c r="X289" s="1083">
        <f t="shared" si="110"/>
        <v>0</v>
      </c>
      <c r="Y289" s="1083">
        <f t="shared" si="111"/>
        <v>0</v>
      </c>
      <c r="Z289" s="1083">
        <f t="shared" si="112"/>
        <v>0</v>
      </c>
      <c r="AA289" s="1084">
        <f t="shared" si="113"/>
        <v>0</v>
      </c>
      <c r="AB289" s="986"/>
      <c r="AC289" s="1101"/>
      <c r="AD289" s="1101"/>
      <c r="AE289" s="1101"/>
      <c r="AF289" s="1101"/>
      <c r="AG289" s="1102"/>
      <c r="AH289" s="986" t="str">
        <f t="shared" si="114"/>
        <v>ICE hybrid vehicle Biogas</v>
      </c>
      <c r="AI289" s="1083">
        <f t="shared" si="115"/>
        <v>0</v>
      </c>
      <c r="AJ289" s="1083">
        <f t="shared" si="116"/>
        <v>0</v>
      </c>
      <c r="AK289" s="1083">
        <f t="shared" si="117"/>
        <v>0</v>
      </c>
      <c r="AL289" s="1083">
        <f t="shared" si="118"/>
        <v>0</v>
      </c>
      <c r="AM289" s="1084">
        <f t="shared" si="119"/>
        <v>0</v>
      </c>
      <c r="AN289" s="958"/>
      <c r="AO289" s="1048"/>
      <c r="AQ289" s="513"/>
      <c r="AR289" s="513"/>
      <c r="AS289" s="513"/>
      <c r="AT289" s="513"/>
    </row>
    <row r="290" spans="2:49" ht="15.75" x14ac:dyDescent="0.25">
      <c r="B290" s="1048"/>
      <c r="C290" s="958"/>
      <c r="D290" s="986" t="str">
        <f>$D$274</f>
        <v>Biodiesel</v>
      </c>
      <c r="E290" s="1107">
        <f>E294</f>
        <v>1332849.3647912885</v>
      </c>
      <c r="F290" s="1107">
        <f>F294</f>
        <v>1332849.3647912885</v>
      </c>
      <c r="G290" s="1107">
        <f>G294</f>
        <v>1332849.3647912885</v>
      </c>
      <c r="H290" s="1107">
        <f>H294</f>
        <v>1332849.3647912885</v>
      </c>
      <c r="I290" s="1112">
        <f>I294</f>
        <v>1332849.3647912885</v>
      </c>
      <c r="J290" s="986" t="str">
        <f t="shared" si="107"/>
        <v>ICE Bio-methanol</v>
      </c>
      <c r="K290" s="1107">
        <f>K203</f>
        <v>1356729.5825771326</v>
      </c>
      <c r="L290" s="1107">
        <f>L203</f>
        <v>1356729.5825771326</v>
      </c>
      <c r="M290" s="1107">
        <f>M203</f>
        <v>1356729.5825771326</v>
      </c>
      <c r="N290" s="1107">
        <f>N203</f>
        <v>1356729.5825771326</v>
      </c>
      <c r="O290" s="1112">
        <f>O203</f>
        <v>1356729.5825771326</v>
      </c>
      <c r="P290" s="986" t="str">
        <f>$D$274</f>
        <v>Biodiesel</v>
      </c>
      <c r="Q290" s="1083">
        <f>E274*E290/1000000</f>
        <v>408.19502612952931</v>
      </c>
      <c r="R290" s="1083">
        <f>F274*F290/1000000</f>
        <v>4870.6219312349176</v>
      </c>
      <c r="S290" s="1083">
        <f>G274*G290/1000000</f>
        <v>5052.8435878376176</v>
      </c>
      <c r="T290" s="1083">
        <f>H274*H290/1000000</f>
        <v>5177.0671122589802</v>
      </c>
      <c r="U290" s="1084">
        <f>I274*I290/1000000</f>
        <v>5301.2906366803409</v>
      </c>
      <c r="V290" s="986" t="str">
        <f t="shared" si="108"/>
        <v>ICE Bio-methanol</v>
      </c>
      <c r="W290" s="1083">
        <f t="shared" si="109"/>
        <v>0</v>
      </c>
      <c r="X290" s="1083">
        <f t="shared" si="110"/>
        <v>0</v>
      </c>
      <c r="Y290" s="1083">
        <f t="shared" si="111"/>
        <v>0</v>
      </c>
      <c r="Z290" s="1083">
        <f t="shared" si="112"/>
        <v>0</v>
      </c>
      <c r="AA290" s="1084">
        <f t="shared" si="113"/>
        <v>0</v>
      </c>
      <c r="AB290" s="986" t="str">
        <f>$D$274</f>
        <v>Biodiesel</v>
      </c>
      <c r="AC290" s="1083">
        <f>-PMT($E$7,$G$7,Q290,0,0)</f>
        <v>38.38239215179285</v>
      </c>
      <c r="AD290" s="1083">
        <f>-PMT($E$7,$G$7,R290,0,0)</f>
        <v>457.98235897283831</v>
      </c>
      <c r="AE290" s="1083">
        <f>-PMT($E$7,$G$7,S290,0,0)</f>
        <v>475.11657824197459</v>
      </c>
      <c r="AF290" s="1083">
        <f>-PMT($E$7,$G$7,T290,0,0)</f>
        <v>486.79725959183889</v>
      </c>
      <c r="AG290" s="1083">
        <f>-PMT($E$7,$G$7,U290,0,0)</f>
        <v>498.47794094170303</v>
      </c>
      <c r="AH290" s="986" t="str">
        <f t="shared" si="114"/>
        <v>ICE Bio-methanol</v>
      </c>
      <c r="AI290" s="1083">
        <f t="shared" si="115"/>
        <v>0</v>
      </c>
      <c r="AJ290" s="1083">
        <f t="shared" si="116"/>
        <v>0</v>
      </c>
      <c r="AK290" s="1083">
        <f t="shared" si="117"/>
        <v>0</v>
      </c>
      <c r="AL290" s="1083">
        <f t="shared" si="118"/>
        <v>0</v>
      </c>
      <c r="AM290" s="1084">
        <f t="shared" si="119"/>
        <v>0</v>
      </c>
      <c r="AN290" s="958"/>
      <c r="AO290" s="1048"/>
      <c r="AQ290" s="513"/>
      <c r="AR290" s="513"/>
      <c r="AS290" s="513"/>
      <c r="AT290" s="513"/>
    </row>
    <row r="291" spans="2:49" ht="15.75" x14ac:dyDescent="0.25">
      <c r="B291" s="1048"/>
      <c r="C291" s="958"/>
      <c r="D291" s="986"/>
      <c r="E291" s="1083"/>
      <c r="F291" s="1083"/>
      <c r="G291" s="1083"/>
      <c r="H291" s="1083"/>
      <c r="I291" s="1084"/>
      <c r="J291" s="986" t="str">
        <f t="shared" si="107"/>
        <v>ICE hybrid vehicle Bio-methanol</v>
      </c>
      <c r="K291" s="1107">
        <f>K290*(K206/K205)</f>
        <v>1540379.5644283122</v>
      </c>
      <c r="L291" s="1107">
        <f>L290*(L206/L205)</f>
        <v>1319026.6061705989</v>
      </c>
      <c r="M291" s="1107">
        <f>M290*(M206/M205)</f>
        <v>1319026.6061705989</v>
      </c>
      <c r="N291" s="1107">
        <f>N290*(N206/N205)</f>
        <v>1319026.6061705989</v>
      </c>
      <c r="O291" s="1112">
        <f>O290*(O206/O205)</f>
        <v>1319026.6061705989</v>
      </c>
      <c r="P291" s="986"/>
      <c r="Q291" s="1083"/>
      <c r="R291" s="1083"/>
      <c r="S291" s="1083"/>
      <c r="T291" s="1083"/>
      <c r="U291" s="1084"/>
      <c r="V291" s="986" t="str">
        <f t="shared" si="108"/>
        <v>ICE hybrid vehicle Bio-methanol</v>
      </c>
      <c r="W291" s="1083">
        <f t="shared" si="109"/>
        <v>0</v>
      </c>
      <c r="X291" s="1083">
        <f t="shared" si="110"/>
        <v>0</v>
      </c>
      <c r="Y291" s="1083">
        <f t="shared" si="111"/>
        <v>0</v>
      </c>
      <c r="Z291" s="1083">
        <f t="shared" si="112"/>
        <v>0</v>
      </c>
      <c r="AA291" s="1084">
        <f t="shared" si="113"/>
        <v>0</v>
      </c>
      <c r="AB291" s="986"/>
      <c r="AC291" s="1083"/>
      <c r="AD291" s="1083"/>
      <c r="AE291" s="1083"/>
      <c r="AF291" s="1083"/>
      <c r="AG291" s="1083"/>
      <c r="AH291" s="986" t="str">
        <f t="shared" si="114"/>
        <v>ICE hybrid vehicle Bio-methanol</v>
      </c>
      <c r="AI291" s="1083">
        <f t="shared" si="115"/>
        <v>0</v>
      </c>
      <c r="AJ291" s="1083">
        <f t="shared" si="116"/>
        <v>0</v>
      </c>
      <c r="AK291" s="1083">
        <f t="shared" si="117"/>
        <v>0</v>
      </c>
      <c r="AL291" s="1083">
        <f t="shared" si="118"/>
        <v>0</v>
      </c>
      <c r="AM291" s="1084">
        <f t="shared" si="119"/>
        <v>0</v>
      </c>
      <c r="AN291" s="958"/>
      <c r="AO291" s="1048"/>
      <c r="AQ291" s="513"/>
      <c r="AR291" s="513"/>
      <c r="AS291" s="513"/>
      <c r="AT291" s="513"/>
    </row>
    <row r="292" spans="2:49" ht="15.75" x14ac:dyDescent="0.25">
      <c r="B292" s="1048"/>
      <c r="C292" s="958"/>
      <c r="D292" s="986"/>
      <c r="E292" s="1081"/>
      <c r="F292" s="1081"/>
      <c r="G292" s="1081"/>
      <c r="H292" s="1081"/>
      <c r="I292" s="1082"/>
      <c r="J292" s="986" t="str">
        <f t="shared" si="107"/>
        <v>ICE Diesel Hybrid</v>
      </c>
      <c r="K292" s="1107">
        <f>K294*(K206/K205)</f>
        <v>1513266.8664052184</v>
      </c>
      <c r="L292" s="1107">
        <f>L294*(L206/L205)</f>
        <v>1295810.010155316</v>
      </c>
      <c r="M292" s="1107">
        <f>M294*(M206/M205)</f>
        <v>1295810.010155316</v>
      </c>
      <c r="N292" s="1107">
        <f>N294*(N206/N205)</f>
        <v>1295810.010155316</v>
      </c>
      <c r="O292" s="1112">
        <f>O294*(O206/O205)</f>
        <v>1295810.010155316</v>
      </c>
      <c r="P292" s="986"/>
      <c r="Q292" s="1101"/>
      <c r="R292" s="1101"/>
      <c r="S292" s="1101"/>
      <c r="T292" s="1101"/>
      <c r="U292" s="1102"/>
      <c r="V292" s="986" t="str">
        <f t="shared" si="108"/>
        <v>ICE Diesel Hybrid</v>
      </c>
      <c r="W292" s="1083">
        <f t="shared" si="109"/>
        <v>0</v>
      </c>
      <c r="X292" s="1083">
        <f t="shared" si="110"/>
        <v>0</v>
      </c>
      <c r="Y292" s="1083">
        <f t="shared" si="111"/>
        <v>0</v>
      </c>
      <c r="Z292" s="1083">
        <f t="shared" si="112"/>
        <v>0</v>
      </c>
      <c r="AA292" s="1084">
        <f t="shared" si="113"/>
        <v>0</v>
      </c>
      <c r="AB292" s="986"/>
      <c r="AC292" s="1101"/>
      <c r="AD292" s="1101"/>
      <c r="AE292" s="1101"/>
      <c r="AF292" s="1101"/>
      <c r="AG292" s="1102"/>
      <c r="AH292" s="986" t="str">
        <f t="shared" si="114"/>
        <v>ICE Diesel Hybrid</v>
      </c>
      <c r="AI292" s="1083">
        <f t="shared" si="115"/>
        <v>0</v>
      </c>
      <c r="AJ292" s="1083">
        <f t="shared" si="116"/>
        <v>0</v>
      </c>
      <c r="AK292" s="1083">
        <f t="shared" si="117"/>
        <v>0</v>
      </c>
      <c r="AL292" s="1083">
        <f t="shared" si="118"/>
        <v>0</v>
      </c>
      <c r="AM292" s="1084">
        <f t="shared" si="119"/>
        <v>0</v>
      </c>
      <c r="AN292" s="958"/>
      <c r="AO292" s="1048"/>
      <c r="AQ292" s="513"/>
      <c r="AR292" s="513"/>
      <c r="AS292" s="513"/>
      <c r="AT292" s="513"/>
    </row>
    <row r="293" spans="2:49" ht="15.75" x14ac:dyDescent="0.25">
      <c r="B293" s="1048"/>
      <c r="C293" s="958"/>
      <c r="D293" s="986"/>
      <c r="E293" s="1081"/>
      <c r="F293" s="1081"/>
      <c r="G293" s="1081"/>
      <c r="H293" s="1081"/>
      <c r="I293" s="1082"/>
      <c r="J293" s="986" t="s">
        <v>483</v>
      </c>
      <c r="K293" s="1107">
        <f>E294</f>
        <v>1332849.3647912885</v>
      </c>
      <c r="L293" s="1107">
        <f t="shared" ref="L293:O293" si="120">F294</f>
        <v>1332849.3647912885</v>
      </c>
      <c r="M293" s="1107">
        <f t="shared" si="120"/>
        <v>1332849.3647912885</v>
      </c>
      <c r="N293" s="1107">
        <f t="shared" si="120"/>
        <v>1332849.3647912885</v>
      </c>
      <c r="O293" s="1112">
        <f t="shared" si="120"/>
        <v>1332849.3647912885</v>
      </c>
      <c r="P293" s="986"/>
      <c r="Q293" s="1101"/>
      <c r="R293" s="1101"/>
      <c r="S293" s="1101"/>
      <c r="T293" s="1101"/>
      <c r="U293" s="1102"/>
      <c r="V293" s="986" t="s">
        <v>483</v>
      </c>
      <c r="W293" s="1083">
        <f t="shared" si="109"/>
        <v>0</v>
      </c>
      <c r="X293" s="1083">
        <f t="shared" si="110"/>
        <v>0</v>
      </c>
      <c r="Y293" s="1083">
        <f t="shared" si="111"/>
        <v>0</v>
      </c>
      <c r="Z293" s="1083">
        <f t="shared" si="112"/>
        <v>0</v>
      </c>
      <c r="AA293" s="1084">
        <f t="shared" si="113"/>
        <v>0</v>
      </c>
      <c r="AB293" s="986"/>
      <c r="AC293" s="1101"/>
      <c r="AD293" s="1101"/>
      <c r="AE293" s="1101"/>
      <c r="AF293" s="1101"/>
      <c r="AG293" s="1101"/>
      <c r="AH293" s="986" t="s">
        <v>483</v>
      </c>
      <c r="AI293" s="1083">
        <f t="shared" ref="AI293" si="121">-PMT($E$7,$G$7,W293,0,0)</f>
        <v>0</v>
      </c>
      <c r="AJ293" s="1083">
        <f t="shared" ref="AJ293" si="122">-PMT($E$7,$G$7,X293,0,0)</f>
        <v>0</v>
      </c>
      <c r="AK293" s="1083">
        <f t="shared" ref="AK293" si="123">-PMT($E$7,$G$7,Y293,0,0)</f>
        <v>0</v>
      </c>
      <c r="AL293" s="1083">
        <f t="shared" ref="AL293" si="124">-PMT($E$7,$G$7,Z293,0,0)</f>
        <v>0</v>
      </c>
      <c r="AM293" s="1084">
        <f t="shared" ref="AM293" si="125">-PMT($E$7,$G$7,AA293,0,0)</f>
        <v>0</v>
      </c>
      <c r="AN293" s="958"/>
      <c r="AO293" s="1048"/>
      <c r="AQ293" s="513"/>
      <c r="AR293" s="513"/>
      <c r="AS293" s="513"/>
      <c r="AT293" s="513"/>
    </row>
    <row r="294" spans="2:49" ht="15.75" x14ac:dyDescent="0.25">
      <c r="B294" s="1048"/>
      <c r="C294" s="958"/>
      <c r="D294" s="986" t="str">
        <f>$D$278</f>
        <v>Diesel</v>
      </c>
      <c r="E294" s="1107">
        <f>E209</f>
        <v>1332849.3647912885</v>
      </c>
      <c r="F294" s="1107">
        <f>F209</f>
        <v>1332849.3647912885</v>
      </c>
      <c r="G294" s="1107">
        <f>G209</f>
        <v>1332849.3647912885</v>
      </c>
      <c r="H294" s="1107">
        <f>H209</f>
        <v>1332849.3647912885</v>
      </c>
      <c r="I294" s="1112">
        <f>I209</f>
        <v>1332849.3647912885</v>
      </c>
      <c r="J294" s="986" t="str">
        <f>J278</f>
        <v>ICE Diesel</v>
      </c>
      <c r="K294" s="1107">
        <f>E294</f>
        <v>1332849.3647912885</v>
      </c>
      <c r="L294" s="1107">
        <f>F294</f>
        <v>1332849.3647912885</v>
      </c>
      <c r="M294" s="1107">
        <f>G294</f>
        <v>1332849.3647912885</v>
      </c>
      <c r="N294" s="1107">
        <f>H294</f>
        <v>1332849.3647912885</v>
      </c>
      <c r="O294" s="1112">
        <f>I294</f>
        <v>1332849.3647912885</v>
      </c>
      <c r="P294" s="986" t="str">
        <f>$D$278</f>
        <v>Diesel</v>
      </c>
      <c r="Q294" s="1083">
        <f>E278*E294/1000000</f>
        <v>92248.819030065119</v>
      </c>
      <c r="R294" s="1083">
        <f>F278*F294/1000000</f>
        <v>90664.644758125098</v>
      </c>
      <c r="S294" s="1083">
        <f>G278*G294/1000000</f>
        <v>94056.626726007351</v>
      </c>
      <c r="T294" s="1083">
        <f>H278*H294/1000000</f>
        <v>96368.997070344354</v>
      </c>
      <c r="U294" s="1084">
        <f>I278*I294/1000000</f>
        <v>98681.367414681386</v>
      </c>
      <c r="V294" s="986" t="str">
        <f>J278</f>
        <v>ICE Diesel</v>
      </c>
      <c r="W294" s="1083">
        <f t="shared" si="109"/>
        <v>0</v>
      </c>
      <c r="X294" s="1083">
        <f t="shared" si="110"/>
        <v>0</v>
      </c>
      <c r="Y294" s="1083">
        <f t="shared" si="111"/>
        <v>0</v>
      </c>
      <c r="Z294" s="1083">
        <f t="shared" si="112"/>
        <v>0</v>
      </c>
      <c r="AA294" s="1084">
        <f t="shared" si="113"/>
        <v>0</v>
      </c>
      <c r="AB294" s="986" t="str">
        <f>$D$278</f>
        <v>Diesel</v>
      </c>
      <c r="AC294" s="1083">
        <f>-PMT($E$7,$G$7,Q294,0,0)</f>
        <v>8674.1143838146072</v>
      </c>
      <c r="AD294" s="1083">
        <f>-PMT($E$7,$G$7,R294,0,0)</f>
        <v>8525.155199478324</v>
      </c>
      <c r="AE294" s="1083">
        <f>-PMT($E$7,$G$7,S294,0,0)</f>
        <v>8844.1017170229898</v>
      </c>
      <c r="AF294" s="1083">
        <f>-PMT($E$7,$G$7,T294,0,0)</f>
        <v>9061.5328459568227</v>
      </c>
      <c r="AG294" s="1083">
        <f>-PMT($E$7,$G$7,U294,0,0)</f>
        <v>9278.9639748906593</v>
      </c>
      <c r="AH294" s="986" t="str">
        <f t="shared" si="114"/>
        <v>ICE Diesel</v>
      </c>
      <c r="AI294" s="1083">
        <f t="shared" si="115"/>
        <v>0</v>
      </c>
      <c r="AJ294" s="1083">
        <f t="shared" si="116"/>
        <v>0</v>
      </c>
      <c r="AK294" s="1083">
        <f t="shared" si="117"/>
        <v>0</v>
      </c>
      <c r="AL294" s="1083">
        <f t="shared" si="118"/>
        <v>0</v>
      </c>
      <c r="AM294" s="1084">
        <f t="shared" si="119"/>
        <v>0</v>
      </c>
      <c r="AN294" s="958"/>
      <c r="AO294" s="1048"/>
      <c r="AQ294" s="513"/>
      <c r="AR294" s="513"/>
      <c r="AS294" s="513"/>
      <c r="AT294" s="513"/>
    </row>
    <row r="295" spans="2:49" ht="15.75" x14ac:dyDescent="0.25">
      <c r="B295" s="1048"/>
      <c r="C295" s="958"/>
      <c r="D295" s="986"/>
      <c r="E295" s="1081"/>
      <c r="F295" s="1081"/>
      <c r="G295" s="1081"/>
      <c r="H295" s="1081"/>
      <c r="I295" s="1082"/>
      <c r="J295" s="986" t="str">
        <f>J279</f>
        <v>ICE Syn-methanol</v>
      </c>
      <c r="K295" s="1107">
        <f t="shared" ref="K295:O296" si="126">K290</f>
        <v>1356729.5825771326</v>
      </c>
      <c r="L295" s="1107">
        <f t="shared" si="126"/>
        <v>1356729.5825771326</v>
      </c>
      <c r="M295" s="1107">
        <f t="shared" si="126"/>
        <v>1356729.5825771326</v>
      </c>
      <c r="N295" s="1107">
        <f t="shared" si="126"/>
        <v>1356729.5825771326</v>
      </c>
      <c r="O295" s="1112">
        <f t="shared" si="126"/>
        <v>1356729.5825771326</v>
      </c>
      <c r="P295" s="986"/>
      <c r="Q295" s="1101"/>
      <c r="R295" s="1101"/>
      <c r="S295" s="1101"/>
      <c r="T295" s="1101"/>
      <c r="U295" s="1102"/>
      <c r="V295" s="986" t="str">
        <f>J279</f>
        <v>ICE Syn-methanol</v>
      </c>
      <c r="W295" s="1083">
        <f t="shared" si="109"/>
        <v>0</v>
      </c>
      <c r="X295" s="1083">
        <f t="shared" si="110"/>
        <v>0</v>
      </c>
      <c r="Y295" s="1083">
        <f t="shared" si="111"/>
        <v>0</v>
      </c>
      <c r="Z295" s="1083">
        <f t="shared" si="112"/>
        <v>0</v>
      </c>
      <c r="AA295" s="1084">
        <f t="shared" si="113"/>
        <v>0</v>
      </c>
      <c r="AB295" s="986"/>
      <c r="AC295" s="1101"/>
      <c r="AD295" s="1101"/>
      <c r="AE295" s="1101"/>
      <c r="AF295" s="1101"/>
      <c r="AG295" s="1102"/>
      <c r="AH295" s="986" t="str">
        <f t="shared" si="114"/>
        <v>ICE Syn-methanol</v>
      </c>
      <c r="AI295" s="1083">
        <f t="shared" si="115"/>
        <v>0</v>
      </c>
      <c r="AJ295" s="1083">
        <f t="shared" si="116"/>
        <v>0</v>
      </c>
      <c r="AK295" s="1083">
        <f t="shared" si="117"/>
        <v>0</v>
      </c>
      <c r="AL295" s="1083">
        <f t="shared" si="118"/>
        <v>0</v>
      </c>
      <c r="AM295" s="1084">
        <f t="shared" si="119"/>
        <v>0</v>
      </c>
      <c r="AN295" s="958"/>
      <c r="AO295" s="1048"/>
      <c r="AQ295" s="513"/>
      <c r="AR295" s="513"/>
      <c r="AS295" s="513"/>
      <c r="AT295" s="513"/>
    </row>
    <row r="296" spans="2:49" ht="15.75" x14ac:dyDescent="0.25">
      <c r="B296" s="1048"/>
      <c r="C296" s="958"/>
      <c r="D296" s="986"/>
      <c r="E296" s="1081"/>
      <c r="F296" s="1081"/>
      <c r="G296" s="1081"/>
      <c r="H296" s="1081"/>
      <c r="I296" s="1082"/>
      <c r="J296" s="986" t="str">
        <f>J280</f>
        <v>ICE Hybrid Syn-methanol</v>
      </c>
      <c r="K296" s="1107">
        <f t="shared" si="126"/>
        <v>1540379.5644283122</v>
      </c>
      <c r="L296" s="1107">
        <f t="shared" si="126"/>
        <v>1319026.6061705989</v>
      </c>
      <c r="M296" s="1107">
        <f t="shared" si="126"/>
        <v>1319026.6061705989</v>
      </c>
      <c r="N296" s="1107">
        <f t="shared" si="126"/>
        <v>1319026.6061705989</v>
      </c>
      <c r="O296" s="1112">
        <f t="shared" si="126"/>
        <v>1319026.6061705989</v>
      </c>
      <c r="P296" s="986"/>
      <c r="Q296" s="1101"/>
      <c r="R296" s="1101"/>
      <c r="S296" s="1101"/>
      <c r="T296" s="1101"/>
      <c r="U296" s="1102"/>
      <c r="V296" s="986" t="str">
        <f>J280</f>
        <v>ICE Hybrid Syn-methanol</v>
      </c>
      <c r="W296" s="1083">
        <f t="shared" si="109"/>
        <v>0</v>
      </c>
      <c r="X296" s="1083">
        <f t="shared" si="110"/>
        <v>0</v>
      </c>
      <c r="Y296" s="1083">
        <f t="shared" si="111"/>
        <v>0</v>
      </c>
      <c r="Z296" s="1083">
        <f t="shared" si="112"/>
        <v>0</v>
      </c>
      <c r="AA296" s="1084">
        <f t="shared" si="113"/>
        <v>0</v>
      </c>
      <c r="AB296" s="986"/>
      <c r="AC296" s="1101"/>
      <c r="AD296" s="1101"/>
      <c r="AE296" s="1101"/>
      <c r="AF296" s="1101"/>
      <c r="AG296" s="1102"/>
      <c r="AH296" s="986" t="str">
        <f t="shared" si="114"/>
        <v>ICE Hybrid Syn-methanol</v>
      </c>
      <c r="AI296" s="1083">
        <f t="shared" si="115"/>
        <v>0</v>
      </c>
      <c r="AJ296" s="1083">
        <f t="shared" si="116"/>
        <v>0</v>
      </c>
      <c r="AK296" s="1083">
        <f t="shared" si="117"/>
        <v>0</v>
      </c>
      <c r="AL296" s="1083">
        <f t="shared" si="118"/>
        <v>0</v>
      </c>
      <c r="AM296" s="1084">
        <f t="shared" si="119"/>
        <v>0</v>
      </c>
      <c r="AN296" s="958"/>
      <c r="AO296" s="1048"/>
      <c r="AQ296" s="513"/>
      <c r="AR296" s="513"/>
      <c r="AS296" s="513"/>
      <c r="AT296" s="513"/>
    </row>
    <row r="297" spans="2:49" ht="16.5" thickBot="1" x14ac:dyDescent="0.3">
      <c r="B297" s="1048"/>
      <c r="C297" s="958"/>
      <c r="D297" s="994"/>
      <c r="E297" s="1085"/>
      <c r="F297" s="1085"/>
      <c r="G297" s="1085"/>
      <c r="H297" s="1085"/>
      <c r="I297" s="1086"/>
      <c r="J297" s="994" t="str">
        <f>J281</f>
        <v>No shift in technology</v>
      </c>
      <c r="K297" s="1115">
        <f>E294</f>
        <v>1332849.3647912885</v>
      </c>
      <c r="L297" s="1115">
        <f>F294</f>
        <v>1332849.3647912885</v>
      </c>
      <c r="M297" s="1115">
        <f>G294</f>
        <v>1332849.3647912885</v>
      </c>
      <c r="N297" s="1115">
        <f>H294</f>
        <v>1332849.3647912885</v>
      </c>
      <c r="O297" s="1116">
        <f>I294</f>
        <v>1332849.3647912885</v>
      </c>
      <c r="P297" s="994"/>
      <c r="Q297" s="1103"/>
      <c r="R297" s="1103"/>
      <c r="S297" s="1103"/>
      <c r="T297" s="1103"/>
      <c r="U297" s="1104"/>
      <c r="V297" s="994" t="str">
        <f>J281</f>
        <v>No shift in technology</v>
      </c>
      <c r="W297" s="1091">
        <f t="shared" si="109"/>
        <v>92657.014056194676</v>
      </c>
      <c r="X297" s="1091">
        <f t="shared" si="110"/>
        <v>95535.266689359996</v>
      </c>
      <c r="Y297" s="1091">
        <f t="shared" si="111"/>
        <v>99109.470313844969</v>
      </c>
      <c r="Z297" s="1091">
        <f t="shared" si="112"/>
        <v>101546.06418260335</v>
      </c>
      <c r="AA297" s="1092">
        <f t="shared" si="113"/>
        <v>103982.65805136172</v>
      </c>
      <c r="AB297" s="994"/>
      <c r="AC297" s="1103"/>
      <c r="AD297" s="1103"/>
      <c r="AE297" s="1103"/>
      <c r="AF297" s="1103"/>
      <c r="AG297" s="1104"/>
      <c r="AH297" s="994" t="str">
        <f t="shared" si="114"/>
        <v>No shift in technology</v>
      </c>
      <c r="AI297" s="1091">
        <f t="shared" si="115"/>
        <v>8712.496775966405</v>
      </c>
      <c r="AJ297" s="1091">
        <f t="shared" si="116"/>
        <v>8983.1375584511607</v>
      </c>
      <c r="AK297" s="1091">
        <f t="shared" si="117"/>
        <v>9319.2182952649637</v>
      </c>
      <c r="AL297" s="1091">
        <f t="shared" si="118"/>
        <v>9548.3301055486627</v>
      </c>
      <c r="AM297" s="1092">
        <f t="shared" si="119"/>
        <v>9777.4419158323617</v>
      </c>
      <c r="AN297" s="958"/>
      <c r="AO297" s="1048"/>
      <c r="AQ297" s="513"/>
      <c r="AR297" s="513"/>
      <c r="AS297" s="513"/>
      <c r="AT297" s="513"/>
    </row>
    <row r="298" spans="2:49" ht="17.25" thickTop="1" thickBot="1" x14ac:dyDescent="0.3">
      <c r="B298" s="1048"/>
      <c r="C298" s="958"/>
      <c r="D298" s="996"/>
      <c r="E298" s="997"/>
      <c r="F298" s="997"/>
      <c r="G298" s="997"/>
      <c r="H298" s="997"/>
      <c r="I298" s="998"/>
      <c r="J298" s="1036"/>
      <c r="K298" s="1087"/>
      <c r="L298" s="1087"/>
      <c r="M298" s="1087"/>
      <c r="N298" s="1087"/>
      <c r="O298" s="1088"/>
      <c r="P298" s="996" t="s">
        <v>60</v>
      </c>
      <c r="Q298" s="1087">
        <f>SUM(Q287:Q297)</f>
        <v>92657.014056194646</v>
      </c>
      <c r="R298" s="1087">
        <f>SUM(R287:R297)</f>
        <v>95535.266689360011</v>
      </c>
      <c r="S298" s="1087">
        <f>SUM(S287:S297)</f>
        <v>99109.470313844969</v>
      </c>
      <c r="T298" s="1087">
        <f>SUM(T287:T297)</f>
        <v>101546.06418260334</v>
      </c>
      <c r="U298" s="1088">
        <f>SUM(U287:U297)</f>
        <v>103982.65805136172</v>
      </c>
      <c r="V298" s="996" t="s">
        <v>60</v>
      </c>
      <c r="W298" s="1087">
        <f>SUM(W287:W297)</f>
        <v>92657.014056194676</v>
      </c>
      <c r="X298" s="1087">
        <f>SUM(X287:X297)</f>
        <v>95535.266689359996</v>
      </c>
      <c r="Y298" s="1087">
        <f>SUM(Y287:Y297)</f>
        <v>99109.470313844969</v>
      </c>
      <c r="Z298" s="1087">
        <f>SUM(Z287:Z297)</f>
        <v>101546.06418260335</v>
      </c>
      <c r="AA298" s="1088">
        <f>SUM(AA287:AA297)</f>
        <v>103982.65805136172</v>
      </c>
      <c r="AB298" s="996" t="s">
        <v>60</v>
      </c>
      <c r="AC298" s="1087">
        <f>SUM(AC287:AC297)</f>
        <v>8712.4967759663996</v>
      </c>
      <c r="AD298" s="1087">
        <f>SUM(AD287:AD297)</f>
        <v>8983.1375584511625</v>
      </c>
      <c r="AE298" s="1087">
        <f>SUM(AE287:AE297)</f>
        <v>9319.2182952649637</v>
      </c>
      <c r="AF298" s="1087">
        <f>SUM(AF287:AF297)</f>
        <v>9548.3301055486609</v>
      </c>
      <c r="AG298" s="1088">
        <f>SUM(AG287:AG297)</f>
        <v>9777.4419158323617</v>
      </c>
      <c r="AH298" s="996"/>
      <c r="AI298" s="1087">
        <f>SUM(AI287:AI297)</f>
        <v>8712.496775966405</v>
      </c>
      <c r="AJ298" s="1087">
        <f>SUM(AJ287:AJ297)</f>
        <v>8983.1375584511607</v>
      </c>
      <c r="AK298" s="1087">
        <f>SUM(AK287:AK297)</f>
        <v>9319.2182952649637</v>
      </c>
      <c r="AL298" s="1087">
        <f>SUM(AL287:AL297)</f>
        <v>9548.3301055486627</v>
      </c>
      <c r="AM298" s="1088">
        <f>SUM(AM287:AM297)</f>
        <v>9777.4419158323617</v>
      </c>
      <c r="AN298" s="958"/>
      <c r="AO298" s="1048"/>
      <c r="AQ298" s="513"/>
      <c r="AR298" s="513"/>
      <c r="AS298" s="513"/>
      <c r="AT298" s="513"/>
    </row>
    <row r="299" spans="2:49" ht="15.75" x14ac:dyDescent="0.25">
      <c r="B299" s="1048"/>
      <c r="C299" s="958"/>
      <c r="D299" s="958"/>
      <c r="E299" s="958"/>
      <c r="F299" s="958"/>
      <c r="G299" s="958"/>
      <c r="H299" s="958"/>
      <c r="I299" s="958"/>
      <c r="J299" s="958"/>
      <c r="K299" s="958"/>
      <c r="L299" s="958"/>
      <c r="M299" s="958"/>
      <c r="N299" s="958"/>
      <c r="O299" s="958"/>
      <c r="P299" s="1141"/>
      <c r="Q299" s="958"/>
      <c r="R299" s="958"/>
      <c r="S299" s="958"/>
      <c r="T299" s="958"/>
      <c r="U299" s="958"/>
      <c r="V299" s="958"/>
      <c r="W299" s="958"/>
      <c r="X299" s="958"/>
      <c r="Y299" s="958"/>
      <c r="Z299" s="958"/>
      <c r="AA299" s="958"/>
      <c r="AB299" s="958"/>
      <c r="AC299" s="958"/>
      <c r="AD299" s="958"/>
      <c r="AE299" s="958"/>
      <c r="AF299" s="958"/>
      <c r="AG299" s="958"/>
      <c r="AH299" s="958"/>
      <c r="AI299" s="958"/>
      <c r="AJ299" s="958"/>
      <c r="AK299" s="958"/>
      <c r="AL299" s="958"/>
      <c r="AM299" s="958"/>
      <c r="AN299" s="958"/>
      <c r="AO299" s="1048"/>
      <c r="AQ299" s="513"/>
      <c r="AR299" s="513"/>
      <c r="AS299" s="513"/>
      <c r="AT299" s="513"/>
    </row>
    <row r="300" spans="2:49" ht="15.75" thickBot="1" x14ac:dyDescent="0.3">
      <c r="B300" s="1048"/>
      <c r="C300" s="958"/>
      <c r="D300" s="958"/>
      <c r="E300" s="958"/>
      <c r="F300" s="958"/>
      <c r="G300" s="958"/>
      <c r="H300" s="958"/>
      <c r="I300" s="958"/>
      <c r="J300" s="958"/>
      <c r="K300" s="958"/>
      <c r="L300" s="958"/>
      <c r="M300" s="958"/>
      <c r="N300" s="958"/>
      <c r="O300" s="958"/>
      <c r="P300" s="1142"/>
      <c r="Q300" s="958"/>
      <c r="R300" s="958"/>
      <c r="S300" s="958"/>
      <c r="T300" s="958"/>
      <c r="U300" s="958"/>
      <c r="V300" s="958"/>
      <c r="W300" s="958"/>
      <c r="X300" s="958"/>
      <c r="Y300" s="958"/>
      <c r="Z300" s="958"/>
      <c r="AA300" s="958"/>
      <c r="AB300" s="958"/>
      <c r="AC300" s="958"/>
      <c r="AD300" s="958"/>
      <c r="AE300" s="958"/>
      <c r="AF300" s="958"/>
      <c r="AG300" s="958"/>
      <c r="AH300" s="958"/>
      <c r="AI300" s="958"/>
      <c r="AJ300" s="958"/>
      <c r="AK300" s="958"/>
      <c r="AL300" s="958"/>
      <c r="AM300" s="958"/>
      <c r="AN300" s="958"/>
      <c r="AO300" s="1048"/>
      <c r="AR300" s="513"/>
      <c r="AS300" s="513"/>
      <c r="AT300" s="513"/>
      <c r="AU300" s="513"/>
    </row>
    <row r="301" spans="2:49" ht="15.75" thickBot="1" x14ac:dyDescent="0.3">
      <c r="B301" s="1048"/>
      <c r="C301" s="958"/>
      <c r="D301" s="2014" t="s">
        <v>183</v>
      </c>
      <c r="E301" s="2015">
        <v>2010</v>
      </c>
      <c r="F301" s="2015">
        <v>2020</v>
      </c>
      <c r="G301" s="2015">
        <v>2030</v>
      </c>
      <c r="H301" s="2015">
        <v>2040</v>
      </c>
      <c r="I301" s="2016">
        <v>2050</v>
      </c>
      <c r="J301" s="2008" t="s">
        <v>183</v>
      </c>
      <c r="K301" s="2009">
        <v>2010</v>
      </c>
      <c r="L301" s="2009">
        <v>2020</v>
      </c>
      <c r="M301" s="2009">
        <v>2030</v>
      </c>
      <c r="N301" s="2009">
        <v>2040</v>
      </c>
      <c r="O301" s="2010">
        <v>2050</v>
      </c>
      <c r="P301" s="2014" t="s">
        <v>190</v>
      </c>
      <c r="Q301" s="2015">
        <v>2010</v>
      </c>
      <c r="R301" s="2015">
        <v>2020</v>
      </c>
      <c r="S301" s="2015">
        <v>2030</v>
      </c>
      <c r="T301" s="2015">
        <v>2040</v>
      </c>
      <c r="U301" s="2016">
        <v>2050</v>
      </c>
      <c r="V301" s="2008" t="s">
        <v>190</v>
      </c>
      <c r="W301" s="2009">
        <v>2010</v>
      </c>
      <c r="X301" s="2009">
        <v>2020</v>
      </c>
      <c r="Y301" s="2009">
        <v>2030</v>
      </c>
      <c r="Z301" s="2009">
        <v>2040</v>
      </c>
      <c r="AA301" s="2010">
        <v>2050</v>
      </c>
      <c r="AB301" s="958"/>
      <c r="AC301" s="958"/>
      <c r="AD301" s="958"/>
      <c r="AE301" s="958"/>
      <c r="AF301" s="958"/>
      <c r="AG301" s="958"/>
      <c r="AH301" s="958"/>
      <c r="AI301" s="958"/>
      <c r="AJ301" s="958"/>
      <c r="AK301" s="958"/>
      <c r="AL301" s="958"/>
      <c r="AM301" s="958"/>
      <c r="AN301" s="958"/>
      <c r="AO301" s="1048"/>
      <c r="AR301" s="513"/>
      <c r="AS301" s="513"/>
      <c r="AT301" s="513"/>
      <c r="AU301" s="513"/>
    </row>
    <row r="302" spans="2:49" ht="15.75" thickBot="1" x14ac:dyDescent="0.3">
      <c r="B302" s="1048"/>
      <c r="C302" s="958"/>
      <c r="D302" s="971" t="s">
        <v>180</v>
      </c>
      <c r="E302" s="983">
        <v>2010</v>
      </c>
      <c r="F302" s="983">
        <v>2020</v>
      </c>
      <c r="G302" s="983">
        <v>2030</v>
      </c>
      <c r="H302" s="983">
        <v>2040</v>
      </c>
      <c r="I302" s="984">
        <v>2050</v>
      </c>
      <c r="J302" s="971" t="s">
        <v>180</v>
      </c>
      <c r="K302" s="983">
        <v>2010</v>
      </c>
      <c r="L302" s="983">
        <v>2020</v>
      </c>
      <c r="M302" s="983">
        <v>2030</v>
      </c>
      <c r="N302" s="983">
        <v>2040</v>
      </c>
      <c r="O302" s="984">
        <v>2050</v>
      </c>
      <c r="P302" s="971" t="s">
        <v>391</v>
      </c>
      <c r="Q302" s="983"/>
      <c r="R302" s="983"/>
      <c r="S302" s="983"/>
      <c r="T302" s="983"/>
      <c r="U302" s="984"/>
      <c r="V302" s="971" t="s">
        <v>391</v>
      </c>
      <c r="W302" s="983"/>
      <c r="X302" s="983"/>
      <c r="Y302" s="983"/>
      <c r="Z302" s="983"/>
      <c r="AA302" s="984"/>
      <c r="AB302" s="958"/>
      <c r="AC302" s="958"/>
      <c r="AD302" s="958"/>
      <c r="AE302" s="958"/>
      <c r="AF302" s="958"/>
      <c r="AG302" s="958"/>
      <c r="AH302" s="958"/>
      <c r="AI302" s="958"/>
      <c r="AJ302" s="958"/>
      <c r="AK302" s="958"/>
      <c r="AL302" s="958"/>
      <c r="AM302" s="958"/>
      <c r="AN302" s="958"/>
      <c r="AO302" s="1048"/>
      <c r="AT302" s="513"/>
      <c r="AU302" s="513"/>
      <c r="AV302" s="513"/>
      <c r="AW302" s="513"/>
    </row>
    <row r="303" spans="2:49" ht="15.75" x14ac:dyDescent="0.25">
      <c r="B303" s="1048"/>
      <c r="C303" s="958"/>
      <c r="D303" s="986"/>
      <c r="E303" s="968"/>
      <c r="F303" s="968"/>
      <c r="G303" s="968"/>
      <c r="H303" s="968"/>
      <c r="I303" s="968"/>
      <c r="J303" s="1000" t="str">
        <f t="shared" ref="J303:J308" si="127">J287</f>
        <v>Fuel cell hybrid truck Syn-methanol</v>
      </c>
      <c r="K303" s="1119">
        <f>K310*(K95/K105)</f>
        <v>2.7728025889659489E-3</v>
      </c>
      <c r="L303" s="1119">
        <f>L310*(L95/L105)</f>
        <v>9.740249202876956E-3</v>
      </c>
      <c r="M303" s="1119">
        <f>M310*(M95/M105)</f>
        <v>9.740249202876956E-3</v>
      </c>
      <c r="N303" s="1119">
        <f>N310*(N95/N105)</f>
        <v>9.740249202876956E-3</v>
      </c>
      <c r="O303" s="1120">
        <f>O310*(O95/O105)</f>
        <v>9.740249202876956E-3</v>
      </c>
      <c r="P303" s="1000"/>
      <c r="Q303" s="1099"/>
      <c r="R303" s="1099"/>
      <c r="S303" s="1099"/>
      <c r="T303" s="1099"/>
      <c r="U303" s="1099"/>
      <c r="V303" s="1000" t="str">
        <f t="shared" ref="V303:V308" si="128">AH287</f>
        <v>Fuel cell hybrid truck Syn-methanol</v>
      </c>
      <c r="W303" s="1089">
        <f t="shared" ref="W303:W313" si="129">K303*W287</f>
        <v>0</v>
      </c>
      <c r="X303" s="1089">
        <f t="shared" ref="X303:X313" si="130">L303*X287</f>
        <v>0</v>
      </c>
      <c r="Y303" s="1089">
        <f t="shared" ref="Y303:Y313" si="131">M303*Y287</f>
        <v>0</v>
      </c>
      <c r="Z303" s="1089">
        <f t="shared" ref="Z303:Z313" si="132">N303*Z287</f>
        <v>0</v>
      </c>
      <c r="AA303" s="1090">
        <f t="shared" ref="AA303:AA313" si="133">O303*AA287</f>
        <v>0</v>
      </c>
      <c r="AB303" s="958"/>
      <c r="AC303" s="958"/>
      <c r="AD303" s="958"/>
      <c r="AE303" s="958"/>
      <c r="AF303" s="958"/>
      <c r="AG303" s="958"/>
      <c r="AH303" s="958"/>
      <c r="AI303" s="958"/>
      <c r="AJ303" s="958"/>
      <c r="AK303" s="958"/>
      <c r="AL303" s="958"/>
      <c r="AM303" s="958"/>
      <c r="AN303" s="958"/>
      <c r="AO303" s="1048"/>
      <c r="AT303" s="513"/>
      <c r="AU303" s="513"/>
      <c r="AV303" s="513"/>
      <c r="AW303" s="513"/>
    </row>
    <row r="304" spans="2:49" ht="15.75" x14ac:dyDescent="0.25">
      <c r="B304" s="1048"/>
      <c r="C304" s="958"/>
      <c r="D304" s="986"/>
      <c r="E304" s="634"/>
      <c r="F304" s="634"/>
      <c r="G304" s="634"/>
      <c r="H304" s="634"/>
      <c r="I304" s="634"/>
      <c r="J304" s="986" t="str">
        <f t="shared" si="127"/>
        <v>ICE Biogas</v>
      </c>
      <c r="K304" s="1018">
        <v>1.21E-2</v>
      </c>
      <c r="L304" s="1018">
        <v>1.21E-2</v>
      </c>
      <c r="M304" s="1018">
        <v>1.21E-2</v>
      </c>
      <c r="N304" s="1018">
        <v>1.21E-2</v>
      </c>
      <c r="O304" s="1019">
        <v>1.21E-2</v>
      </c>
      <c r="P304" s="986"/>
      <c r="Q304" s="1081"/>
      <c r="R304" s="1081"/>
      <c r="S304" s="1081"/>
      <c r="T304" s="1081"/>
      <c r="U304" s="1081"/>
      <c r="V304" s="986" t="str">
        <f t="shared" si="128"/>
        <v>ICE Biogas</v>
      </c>
      <c r="W304" s="1083">
        <f t="shared" si="129"/>
        <v>0</v>
      </c>
      <c r="X304" s="1083">
        <f t="shared" si="130"/>
        <v>0</v>
      </c>
      <c r="Y304" s="1083">
        <f t="shared" si="131"/>
        <v>0</v>
      </c>
      <c r="Z304" s="1083">
        <f t="shared" si="132"/>
        <v>0</v>
      </c>
      <c r="AA304" s="1084">
        <f t="shared" si="133"/>
        <v>0</v>
      </c>
      <c r="AB304" s="958"/>
      <c r="AC304" s="958"/>
      <c r="AD304" s="958"/>
      <c r="AE304" s="958"/>
      <c r="AF304" s="958"/>
      <c r="AG304" s="958"/>
      <c r="AH304" s="958"/>
      <c r="AI304" s="958"/>
      <c r="AJ304" s="958"/>
      <c r="AK304" s="958"/>
      <c r="AL304" s="958"/>
      <c r="AM304" s="958"/>
      <c r="AN304" s="958"/>
      <c r="AO304" s="1048"/>
      <c r="AT304" s="513"/>
      <c r="AU304" s="513"/>
      <c r="AV304" s="513"/>
      <c r="AW304" s="513"/>
    </row>
    <row r="305" spans="2:49" ht="15.75" x14ac:dyDescent="0.25">
      <c r="B305" s="1048"/>
      <c r="C305" s="958"/>
      <c r="D305" s="986"/>
      <c r="E305" s="514"/>
      <c r="F305" s="514"/>
      <c r="G305" s="514"/>
      <c r="H305" s="514"/>
      <c r="I305" s="514"/>
      <c r="J305" s="986" t="str">
        <f t="shared" si="127"/>
        <v>ICE hybrid vehicle Biogas</v>
      </c>
      <c r="K305" s="1014">
        <f>K304*(K221/K220)</f>
        <v>1.0585451120161944E-2</v>
      </c>
      <c r="L305" s="1014">
        <f>L304*(L221/L220)</f>
        <v>1.2400411465033461E-2</v>
      </c>
      <c r="M305" s="1014">
        <f>M304*(M221/M220)</f>
        <v>1.2400411465033461E-2</v>
      </c>
      <c r="N305" s="1014">
        <f>N304*(N221/N220)</f>
        <v>1.2400411465033461E-2</v>
      </c>
      <c r="O305" s="1015">
        <f>O304*(O221/O220)</f>
        <v>1.2400411465033461E-2</v>
      </c>
      <c r="P305" s="986"/>
      <c r="Q305" s="1101"/>
      <c r="R305" s="1101"/>
      <c r="S305" s="1101"/>
      <c r="T305" s="1101"/>
      <c r="U305" s="1101"/>
      <c r="V305" s="986" t="str">
        <f t="shared" si="128"/>
        <v>ICE hybrid vehicle Biogas</v>
      </c>
      <c r="W305" s="1083">
        <f t="shared" si="129"/>
        <v>0</v>
      </c>
      <c r="X305" s="1083">
        <f t="shared" si="130"/>
        <v>0</v>
      </c>
      <c r="Y305" s="1083">
        <f t="shared" si="131"/>
        <v>0</v>
      </c>
      <c r="Z305" s="1083">
        <f t="shared" si="132"/>
        <v>0</v>
      </c>
      <c r="AA305" s="1084">
        <f t="shared" si="133"/>
        <v>0</v>
      </c>
      <c r="AB305" s="958"/>
      <c r="AC305" s="958"/>
      <c r="AD305" s="958"/>
      <c r="AE305" s="958"/>
      <c r="AF305" s="958"/>
      <c r="AG305" s="958"/>
      <c r="AH305" s="958"/>
      <c r="AI305" s="958"/>
      <c r="AJ305" s="958"/>
      <c r="AK305" s="958"/>
      <c r="AL305" s="958"/>
      <c r="AM305" s="958"/>
      <c r="AN305" s="958"/>
      <c r="AO305" s="1048"/>
      <c r="AT305" s="513"/>
      <c r="AU305" s="513"/>
      <c r="AV305" s="513"/>
      <c r="AW305" s="513"/>
    </row>
    <row r="306" spans="2:49" ht="15.75" x14ac:dyDescent="0.25">
      <c r="B306" s="1048"/>
      <c r="C306" s="958"/>
      <c r="D306" s="986" t="str">
        <f>$D$274</f>
        <v>Biodiesel</v>
      </c>
      <c r="E306" s="1042">
        <v>1.2238516666666669E-2</v>
      </c>
      <c r="F306" s="1042">
        <v>1.2238516666666668E-2</v>
      </c>
      <c r="G306" s="1042">
        <v>1.2238516666666668E-2</v>
      </c>
      <c r="H306" s="1042">
        <v>1.2238516666666668E-2</v>
      </c>
      <c r="I306" s="1042">
        <v>1.2238516666666668E-2</v>
      </c>
      <c r="J306" s="986" t="str">
        <f t="shared" si="127"/>
        <v>ICE Bio-methanol</v>
      </c>
      <c r="K306" s="1014">
        <f>K310*(K218/K224)</f>
        <v>1.2238516666666669E-2</v>
      </c>
      <c r="L306" s="1014">
        <f>L310*(L218/L224)</f>
        <v>1.2084971543615817E-2</v>
      </c>
      <c r="M306" s="1014">
        <f>M310*(M218/M224)</f>
        <v>1.2084971543615817E-2</v>
      </c>
      <c r="N306" s="1014">
        <f>N310*(N218/N224)</f>
        <v>1.2084971543615817E-2</v>
      </c>
      <c r="O306" s="1015">
        <f>O310*(O218/O224)</f>
        <v>1.2084971543615817E-2</v>
      </c>
      <c r="P306" s="986" t="str">
        <f>$D$274</f>
        <v>Biodiesel</v>
      </c>
      <c r="Q306" s="1083">
        <f>E306*Q290</f>
        <v>4.995701630536681</v>
      </c>
      <c r="R306" s="1083">
        <f>F306*R290</f>
        <v>59.609187682450731</v>
      </c>
      <c r="S306" s="1083">
        <f>G306*S290</f>
        <v>61.839310463810484</v>
      </c>
      <c r="T306" s="1083">
        <f>H306*T290</f>
        <v>63.359622137833405</v>
      </c>
      <c r="U306" s="1083">
        <f>I306*U290</f>
        <v>64.879933811856304</v>
      </c>
      <c r="V306" s="986" t="str">
        <f t="shared" si="128"/>
        <v>ICE Bio-methanol</v>
      </c>
      <c r="W306" s="1083">
        <f t="shared" si="129"/>
        <v>0</v>
      </c>
      <c r="X306" s="1083">
        <f t="shared" si="130"/>
        <v>0</v>
      </c>
      <c r="Y306" s="1083">
        <f t="shared" si="131"/>
        <v>0</v>
      </c>
      <c r="Z306" s="1083">
        <f t="shared" si="132"/>
        <v>0</v>
      </c>
      <c r="AA306" s="1084">
        <f t="shared" si="133"/>
        <v>0</v>
      </c>
      <c r="AB306" s="958"/>
      <c r="AC306" s="958"/>
      <c r="AD306" s="958"/>
      <c r="AE306" s="958"/>
      <c r="AF306" s="958"/>
      <c r="AG306" s="958"/>
      <c r="AH306" s="958"/>
      <c r="AI306" s="958"/>
      <c r="AJ306" s="958"/>
      <c r="AK306" s="958"/>
      <c r="AL306" s="958"/>
      <c r="AM306" s="958"/>
      <c r="AN306" s="958"/>
      <c r="AO306" s="1048"/>
      <c r="AT306" s="513"/>
      <c r="AU306" s="513"/>
      <c r="AV306" s="513"/>
      <c r="AW306" s="513"/>
    </row>
    <row r="307" spans="2:49" ht="15.75" x14ac:dyDescent="0.25">
      <c r="B307" s="1048"/>
      <c r="C307" s="958"/>
      <c r="D307" s="986"/>
      <c r="E307" s="1042"/>
      <c r="F307" s="1042"/>
      <c r="G307" s="1042"/>
      <c r="H307" s="1042"/>
      <c r="I307" s="1042"/>
      <c r="J307" s="986" t="str">
        <f t="shared" si="127"/>
        <v>ICE hybrid vehicle Bio-methanol</v>
      </c>
      <c r="K307" s="1014">
        <f>K306*(K221/K220)</f>
        <v>1.0706629748618787E-2</v>
      </c>
      <c r="L307" s="1014">
        <f>L306*(L221/L220)</f>
        <v>1.2385009891244357E-2</v>
      </c>
      <c r="M307" s="1014">
        <f>M306*(M221/M220)</f>
        <v>1.2385009891244357E-2</v>
      </c>
      <c r="N307" s="1014">
        <f>N306*(N221/N220)</f>
        <v>1.2385009891244357E-2</v>
      </c>
      <c r="O307" s="1015">
        <f>O306*(O221/O220)</f>
        <v>1.2385009891244357E-2</v>
      </c>
      <c r="P307" s="986"/>
      <c r="Q307" s="1083"/>
      <c r="R307" s="1083"/>
      <c r="S307" s="1083"/>
      <c r="T307" s="1083"/>
      <c r="U307" s="1083"/>
      <c r="V307" s="986" t="str">
        <f t="shared" si="128"/>
        <v>ICE hybrid vehicle Bio-methanol</v>
      </c>
      <c r="W307" s="1083">
        <f t="shared" si="129"/>
        <v>0</v>
      </c>
      <c r="X307" s="1083">
        <f t="shared" si="130"/>
        <v>0</v>
      </c>
      <c r="Y307" s="1083">
        <f t="shared" si="131"/>
        <v>0</v>
      </c>
      <c r="Z307" s="1083">
        <f t="shared" si="132"/>
        <v>0</v>
      </c>
      <c r="AA307" s="1084">
        <f t="shared" si="133"/>
        <v>0</v>
      </c>
      <c r="AB307" s="958"/>
      <c r="AC307" s="958"/>
      <c r="AD307" s="958"/>
      <c r="AE307" s="958"/>
      <c r="AF307" s="958"/>
      <c r="AG307" s="958"/>
      <c r="AH307" s="958"/>
      <c r="AI307" s="958"/>
      <c r="AJ307" s="958"/>
      <c r="AK307" s="958"/>
      <c r="AL307" s="958"/>
      <c r="AM307" s="958"/>
      <c r="AN307" s="958"/>
      <c r="AO307" s="1048"/>
      <c r="AT307" s="513"/>
      <c r="AU307" s="513"/>
      <c r="AV307" s="513"/>
      <c r="AW307" s="513"/>
    </row>
    <row r="308" spans="2:49" ht="15.75" x14ac:dyDescent="0.25">
      <c r="B308" s="1048"/>
      <c r="C308" s="958"/>
      <c r="D308" s="986"/>
      <c r="E308" s="514"/>
      <c r="F308" s="514"/>
      <c r="G308" s="514"/>
      <c r="H308" s="514"/>
      <c r="I308" s="514"/>
      <c r="J308" s="986" t="str">
        <f t="shared" si="127"/>
        <v>ICE Diesel Hybrid</v>
      </c>
      <c r="K308" s="1014">
        <f>K310*(K221/K220)</f>
        <v>1.0706629748618787E-2</v>
      </c>
      <c r="L308" s="1014">
        <f>L310*(L221/L220)</f>
        <v>1.254236713953194E-2</v>
      </c>
      <c r="M308" s="1014">
        <f>M310*(M221/M220)</f>
        <v>1.254236713953194E-2</v>
      </c>
      <c r="N308" s="1014">
        <f>N310*(N221/N220)</f>
        <v>1.254236713953194E-2</v>
      </c>
      <c r="O308" s="1015">
        <f>O310*(O221/O220)</f>
        <v>1.254236713953194E-2</v>
      </c>
      <c r="P308" s="986"/>
      <c r="Q308" s="1101"/>
      <c r="R308" s="1101"/>
      <c r="S308" s="1101"/>
      <c r="T308" s="1101"/>
      <c r="U308" s="1101"/>
      <c r="V308" s="986" t="str">
        <f t="shared" si="128"/>
        <v>ICE Diesel Hybrid</v>
      </c>
      <c r="W308" s="1083">
        <f t="shared" si="129"/>
        <v>0</v>
      </c>
      <c r="X308" s="1083">
        <f t="shared" si="130"/>
        <v>0</v>
      </c>
      <c r="Y308" s="1083">
        <f t="shared" si="131"/>
        <v>0</v>
      </c>
      <c r="Z308" s="1083">
        <f t="shared" si="132"/>
        <v>0</v>
      </c>
      <c r="AA308" s="1084">
        <f t="shared" si="133"/>
        <v>0</v>
      </c>
      <c r="AB308" s="958"/>
      <c r="AC308" s="958"/>
      <c r="AD308" s="958"/>
      <c r="AE308" s="958"/>
      <c r="AF308" s="958"/>
      <c r="AG308" s="958"/>
      <c r="AH308" s="958"/>
      <c r="AI308" s="958"/>
      <c r="AJ308" s="958"/>
      <c r="AK308" s="958"/>
      <c r="AL308" s="958"/>
      <c r="AM308" s="958"/>
      <c r="AN308" s="958"/>
      <c r="AO308" s="1048"/>
      <c r="AT308" s="513"/>
      <c r="AU308" s="513"/>
      <c r="AV308" s="513"/>
      <c r="AW308" s="513"/>
    </row>
    <row r="309" spans="2:49" ht="15.75" x14ac:dyDescent="0.25">
      <c r="B309" s="1048"/>
      <c r="C309" s="958"/>
      <c r="D309" s="986"/>
      <c r="E309" s="514"/>
      <c r="F309" s="514"/>
      <c r="G309" s="514"/>
      <c r="H309" s="514"/>
      <c r="I309" s="514"/>
      <c r="J309" s="986" t="s">
        <v>483</v>
      </c>
      <c r="K309" s="1014">
        <f>E310</f>
        <v>1.2238516666666669E-2</v>
      </c>
      <c r="L309" s="1014">
        <f t="shared" ref="L309:O309" si="134">F310</f>
        <v>1.2238516666666669E-2</v>
      </c>
      <c r="M309" s="1014">
        <f t="shared" si="134"/>
        <v>1.2238516666666669E-2</v>
      </c>
      <c r="N309" s="1014">
        <f t="shared" si="134"/>
        <v>1.2238516666666669E-2</v>
      </c>
      <c r="O309" s="1015">
        <f t="shared" si="134"/>
        <v>1.2238516666666669E-2</v>
      </c>
      <c r="P309" s="986"/>
      <c r="Q309" s="1101"/>
      <c r="R309" s="1101"/>
      <c r="S309" s="1101"/>
      <c r="T309" s="1101"/>
      <c r="U309" s="1101"/>
      <c r="V309" s="986" t="s">
        <v>483</v>
      </c>
      <c r="W309" s="1083">
        <f t="shared" si="129"/>
        <v>0</v>
      </c>
      <c r="X309" s="1083">
        <f t="shared" si="130"/>
        <v>0</v>
      </c>
      <c r="Y309" s="1083">
        <f t="shared" si="131"/>
        <v>0</v>
      </c>
      <c r="Z309" s="1083">
        <f t="shared" si="132"/>
        <v>0</v>
      </c>
      <c r="AA309" s="1084">
        <f t="shared" si="133"/>
        <v>0</v>
      </c>
      <c r="AB309" s="958"/>
      <c r="AC309" s="958"/>
      <c r="AD309" s="958"/>
      <c r="AE309" s="958"/>
      <c r="AF309" s="958"/>
      <c r="AG309" s="958"/>
      <c r="AH309" s="958"/>
      <c r="AI309" s="958"/>
      <c r="AJ309" s="958"/>
      <c r="AK309" s="958"/>
      <c r="AL309" s="958"/>
      <c r="AM309" s="958"/>
      <c r="AN309" s="958"/>
      <c r="AO309" s="1048"/>
      <c r="AT309" s="513"/>
      <c r="AU309" s="513"/>
      <c r="AV309" s="513"/>
      <c r="AW309" s="513"/>
    </row>
    <row r="310" spans="2:49" ht="15.75" x14ac:dyDescent="0.25">
      <c r="B310" s="1048"/>
      <c r="C310" s="958"/>
      <c r="D310" s="986" t="str">
        <f>$D$278</f>
        <v>Diesel</v>
      </c>
      <c r="E310" s="1042">
        <v>1.2238516666666669E-2</v>
      </c>
      <c r="F310" s="1042">
        <v>1.2238516666666669E-2</v>
      </c>
      <c r="G310" s="1042">
        <v>1.2238516666666669E-2</v>
      </c>
      <c r="H310" s="1042">
        <v>1.2238516666666669E-2</v>
      </c>
      <c r="I310" s="1042">
        <v>1.2238516666666669E-2</v>
      </c>
      <c r="J310" s="986" t="str">
        <f>J294</f>
        <v>ICE Diesel</v>
      </c>
      <c r="K310" s="1018">
        <v>1.2238516666666669E-2</v>
      </c>
      <c r="L310" s="1018">
        <v>1.2238516666666669E-2</v>
      </c>
      <c r="M310" s="1018">
        <v>1.2238516666666669E-2</v>
      </c>
      <c r="N310" s="1018">
        <v>1.2238516666666669E-2</v>
      </c>
      <c r="O310" s="1019">
        <v>1.2238516666666669E-2</v>
      </c>
      <c r="P310" s="986" t="str">
        <f>$D$278</f>
        <v>Diesel</v>
      </c>
      <c r="Q310" s="1083">
        <f>E310*Q294</f>
        <v>1128.9887091797693</v>
      </c>
      <c r="R310" s="1083">
        <f>F310*R294</f>
        <v>1109.6007659497268</v>
      </c>
      <c r="S310" s="1083">
        <f>G310*S294</f>
        <v>1151.1135937966867</v>
      </c>
      <c r="T310" s="1083">
        <f>H310*T294</f>
        <v>1179.4135767953608</v>
      </c>
      <c r="U310" s="1083">
        <f>I310*U294</f>
        <v>1207.7135597940353</v>
      </c>
      <c r="V310" s="986" t="str">
        <f>AH294</f>
        <v>ICE Diesel</v>
      </c>
      <c r="W310" s="1083">
        <f t="shared" si="129"/>
        <v>0</v>
      </c>
      <c r="X310" s="1083">
        <f t="shared" si="130"/>
        <v>0</v>
      </c>
      <c r="Y310" s="1083">
        <f t="shared" si="131"/>
        <v>0</v>
      </c>
      <c r="Z310" s="1083">
        <f t="shared" si="132"/>
        <v>0</v>
      </c>
      <c r="AA310" s="1084">
        <f t="shared" si="133"/>
        <v>0</v>
      </c>
      <c r="AB310" s="958"/>
      <c r="AC310" s="958"/>
      <c r="AD310" s="958"/>
      <c r="AE310" s="958"/>
      <c r="AF310" s="958"/>
      <c r="AG310" s="958"/>
      <c r="AH310" s="958"/>
      <c r="AI310" s="958"/>
      <c r="AJ310" s="958"/>
      <c r="AK310" s="958"/>
      <c r="AL310" s="958"/>
      <c r="AM310" s="958"/>
      <c r="AN310" s="958"/>
      <c r="AO310" s="1048"/>
      <c r="AT310" s="513"/>
      <c r="AU310" s="513"/>
      <c r="AV310" s="513"/>
      <c r="AW310" s="513"/>
    </row>
    <row r="311" spans="2:49" ht="15.75" x14ac:dyDescent="0.25">
      <c r="B311" s="1048"/>
      <c r="C311" s="958"/>
      <c r="D311" s="986"/>
      <c r="E311" s="514"/>
      <c r="F311" s="514"/>
      <c r="G311" s="514"/>
      <c r="H311" s="514"/>
      <c r="I311" s="514"/>
      <c r="J311" s="986" t="str">
        <f>J295</f>
        <v>ICE Syn-methanol</v>
      </c>
      <c r="K311" s="1014">
        <f t="shared" ref="K311:O312" si="135">K306</f>
        <v>1.2238516666666669E-2</v>
      </c>
      <c r="L311" s="1014">
        <f t="shared" si="135"/>
        <v>1.2084971543615817E-2</v>
      </c>
      <c r="M311" s="1014">
        <f t="shared" si="135"/>
        <v>1.2084971543615817E-2</v>
      </c>
      <c r="N311" s="1014">
        <f t="shared" si="135"/>
        <v>1.2084971543615817E-2</v>
      </c>
      <c r="O311" s="1015">
        <f t="shared" si="135"/>
        <v>1.2084971543615817E-2</v>
      </c>
      <c r="P311" s="986"/>
      <c r="Q311" s="1101"/>
      <c r="R311" s="1101"/>
      <c r="S311" s="1101"/>
      <c r="T311" s="1101"/>
      <c r="U311" s="1101"/>
      <c r="V311" s="986" t="str">
        <f>AH295</f>
        <v>ICE Syn-methanol</v>
      </c>
      <c r="W311" s="1083">
        <f t="shared" si="129"/>
        <v>0</v>
      </c>
      <c r="X311" s="1083">
        <f t="shared" si="130"/>
        <v>0</v>
      </c>
      <c r="Y311" s="1083">
        <f t="shared" si="131"/>
        <v>0</v>
      </c>
      <c r="Z311" s="1083">
        <f t="shared" si="132"/>
        <v>0</v>
      </c>
      <c r="AA311" s="1084">
        <f t="shared" si="133"/>
        <v>0</v>
      </c>
      <c r="AB311" s="958"/>
      <c r="AC311" s="958"/>
      <c r="AD311" s="958"/>
      <c r="AE311" s="958"/>
      <c r="AF311" s="958"/>
      <c r="AG311" s="958"/>
      <c r="AH311" s="958"/>
      <c r="AI311" s="958"/>
      <c r="AJ311" s="958"/>
      <c r="AK311" s="958"/>
      <c r="AL311" s="958"/>
      <c r="AM311" s="958"/>
      <c r="AN311" s="958"/>
      <c r="AO311" s="1048"/>
      <c r="AT311" s="513"/>
      <c r="AU311" s="513"/>
      <c r="AV311" s="513"/>
      <c r="AW311" s="513"/>
    </row>
    <row r="312" spans="2:49" ht="15.75" x14ac:dyDescent="0.25">
      <c r="B312" s="1048"/>
      <c r="C312" s="958"/>
      <c r="D312" s="986"/>
      <c r="E312" s="514"/>
      <c r="F312" s="514"/>
      <c r="G312" s="514"/>
      <c r="H312" s="514"/>
      <c r="I312" s="514"/>
      <c r="J312" s="986" t="str">
        <f>J296</f>
        <v>ICE Hybrid Syn-methanol</v>
      </c>
      <c r="K312" s="1014">
        <f t="shared" si="135"/>
        <v>1.0706629748618787E-2</v>
      </c>
      <c r="L312" s="1014">
        <f t="shared" si="135"/>
        <v>1.2385009891244357E-2</v>
      </c>
      <c r="M312" s="1014">
        <f t="shared" si="135"/>
        <v>1.2385009891244357E-2</v>
      </c>
      <c r="N312" s="1014">
        <f t="shared" si="135"/>
        <v>1.2385009891244357E-2</v>
      </c>
      <c r="O312" s="1015">
        <f t="shared" si="135"/>
        <v>1.2385009891244357E-2</v>
      </c>
      <c r="P312" s="986"/>
      <c r="Q312" s="1101"/>
      <c r="R312" s="1101"/>
      <c r="S312" s="1101"/>
      <c r="T312" s="1101"/>
      <c r="U312" s="1101"/>
      <c r="V312" s="986" t="str">
        <f>AH296</f>
        <v>ICE Hybrid Syn-methanol</v>
      </c>
      <c r="W312" s="1083">
        <f t="shared" si="129"/>
        <v>0</v>
      </c>
      <c r="X312" s="1083">
        <f t="shared" si="130"/>
        <v>0</v>
      </c>
      <c r="Y312" s="1083">
        <f t="shared" si="131"/>
        <v>0</v>
      </c>
      <c r="Z312" s="1083">
        <f t="shared" si="132"/>
        <v>0</v>
      </c>
      <c r="AA312" s="1084">
        <f t="shared" si="133"/>
        <v>0</v>
      </c>
      <c r="AB312" s="958"/>
      <c r="AC312" s="958"/>
      <c r="AD312" s="958"/>
      <c r="AE312" s="958"/>
      <c r="AF312" s="958"/>
      <c r="AG312" s="958"/>
      <c r="AH312" s="958"/>
      <c r="AI312" s="958"/>
      <c r="AJ312" s="958"/>
      <c r="AK312" s="958"/>
      <c r="AL312" s="958"/>
      <c r="AM312" s="958"/>
      <c r="AN312" s="958"/>
      <c r="AO312" s="1048"/>
      <c r="AT312" s="513"/>
      <c r="AU312" s="513"/>
      <c r="AV312" s="513"/>
      <c r="AW312" s="513"/>
    </row>
    <row r="313" spans="2:49" ht="16.5" thickBot="1" x14ac:dyDescent="0.3">
      <c r="B313" s="1048"/>
      <c r="C313" s="958"/>
      <c r="D313" s="994"/>
      <c r="E313" s="1005"/>
      <c r="F313" s="1005"/>
      <c r="G313" s="1005"/>
      <c r="H313" s="1005"/>
      <c r="I313" s="1005"/>
      <c r="J313" s="994" t="str">
        <f>J297</f>
        <v>No shift in technology</v>
      </c>
      <c r="K313" s="1054">
        <v>1.2238516666666669E-2</v>
      </c>
      <c r="L313" s="1054">
        <v>1.2238516666666669E-2</v>
      </c>
      <c r="M313" s="1054">
        <v>1.2238516666666669E-2</v>
      </c>
      <c r="N313" s="1054">
        <v>1.2238516666666669E-2</v>
      </c>
      <c r="O313" s="1055">
        <v>1.2238516666666669E-2</v>
      </c>
      <c r="P313" s="994"/>
      <c r="Q313" s="1103"/>
      <c r="R313" s="1103"/>
      <c r="S313" s="1103"/>
      <c r="T313" s="1103"/>
      <c r="U313" s="1103"/>
      <c r="V313" s="994" t="str">
        <f>AH297</f>
        <v>No shift in technology</v>
      </c>
      <c r="W313" s="1091">
        <f t="shared" si="129"/>
        <v>1133.9844108103064</v>
      </c>
      <c r="X313" s="1091">
        <f t="shared" si="130"/>
        <v>1169.2099536321773</v>
      </c>
      <c r="Y313" s="1091">
        <f t="shared" si="131"/>
        <v>1212.9529042604972</v>
      </c>
      <c r="Z313" s="1091">
        <f t="shared" si="132"/>
        <v>1242.7731989331944</v>
      </c>
      <c r="AA313" s="1092">
        <f t="shared" si="133"/>
        <v>1272.5934936058916</v>
      </c>
      <c r="AB313" s="958"/>
      <c r="AC313" s="958"/>
      <c r="AD313" s="958"/>
      <c r="AE313" s="958"/>
      <c r="AF313" s="958"/>
      <c r="AG313" s="958"/>
      <c r="AH313" s="958"/>
      <c r="AI313" s="958"/>
      <c r="AJ313" s="958"/>
      <c r="AK313" s="958"/>
      <c r="AL313" s="958"/>
      <c r="AM313" s="958"/>
      <c r="AN313" s="958"/>
      <c r="AO313" s="1048"/>
      <c r="AT313" s="513"/>
      <c r="AU313" s="513"/>
      <c r="AV313" s="513"/>
      <c r="AW313" s="513"/>
    </row>
    <row r="314" spans="2:49" ht="17.25" thickTop="1" thickBot="1" x14ac:dyDescent="0.3">
      <c r="B314" s="1048"/>
      <c r="C314" s="958"/>
      <c r="D314" s="996"/>
      <c r="E314" s="1022"/>
      <c r="F314" s="1022"/>
      <c r="G314" s="1022"/>
      <c r="H314" s="1022"/>
      <c r="I314" s="1022"/>
      <c r="J314" s="996"/>
      <c r="K314" s="997"/>
      <c r="L314" s="997"/>
      <c r="M314" s="997"/>
      <c r="N314" s="997"/>
      <c r="O314" s="998"/>
      <c r="P314" s="996" t="s">
        <v>60</v>
      </c>
      <c r="Q314" s="1087">
        <f>SUM(Q303:Q313)</f>
        <v>1133.9844108103059</v>
      </c>
      <c r="R314" s="1087">
        <f>SUM(R303:R313)</f>
        <v>1169.2099536321775</v>
      </c>
      <c r="S314" s="1087">
        <f>SUM(S303:S313)</f>
        <v>1212.9529042604972</v>
      </c>
      <c r="T314" s="1087">
        <f>SUM(T303:T313)</f>
        <v>1242.7731989331942</v>
      </c>
      <c r="U314" s="1088">
        <f>SUM(U303:U313)</f>
        <v>1272.5934936058916</v>
      </c>
      <c r="V314" s="996" t="s">
        <v>60</v>
      </c>
      <c r="W314" s="1087">
        <f>SUM(W303:W313)</f>
        <v>1133.9844108103064</v>
      </c>
      <c r="X314" s="1087">
        <f>SUM(X303:X313)</f>
        <v>1169.2099536321773</v>
      </c>
      <c r="Y314" s="1087">
        <f>SUM(Y303:Y313)</f>
        <v>1212.9529042604972</v>
      </c>
      <c r="Z314" s="1087">
        <f>SUM(Z303:Z313)</f>
        <v>1242.7731989331944</v>
      </c>
      <c r="AA314" s="1088">
        <f>SUM(AA303:AA313)</f>
        <v>1272.5934936058916</v>
      </c>
      <c r="AB314" s="958"/>
      <c r="AC314" s="958"/>
      <c r="AD314" s="958"/>
      <c r="AE314" s="958"/>
      <c r="AF314" s="958"/>
      <c r="AG314" s="958"/>
      <c r="AH314" s="958"/>
      <c r="AI314" s="958"/>
      <c r="AJ314" s="958"/>
      <c r="AK314" s="958"/>
      <c r="AL314" s="958"/>
      <c r="AM314" s="958"/>
      <c r="AN314" s="958"/>
      <c r="AO314" s="1048"/>
      <c r="AT314" s="513"/>
      <c r="AU314" s="513"/>
      <c r="AV314" s="513"/>
      <c r="AW314" s="513"/>
    </row>
    <row r="315" spans="2:49" ht="16.5" thickBot="1" x14ac:dyDescent="0.3">
      <c r="B315" s="1048"/>
      <c r="C315" s="958"/>
      <c r="D315" s="958"/>
      <c r="E315" s="958"/>
      <c r="F315" s="958"/>
      <c r="G315" s="958"/>
      <c r="H315" s="958"/>
      <c r="I315" s="958"/>
      <c r="J315" s="958"/>
      <c r="K315" s="958"/>
      <c r="L315" s="958"/>
      <c r="M315" s="958"/>
      <c r="N315" s="958"/>
      <c r="O315" s="958"/>
      <c r="P315" s="996" t="s">
        <v>230</v>
      </c>
      <c r="Q315" s="1026">
        <f>Q314/Q298</f>
        <v>1.2238516666666668E-2</v>
      </c>
      <c r="R315" s="1026">
        <f>R314/R298</f>
        <v>1.2238516666666669E-2</v>
      </c>
      <c r="S315" s="1026">
        <f>S314/S298</f>
        <v>1.2238516666666669E-2</v>
      </c>
      <c r="T315" s="1026">
        <f>T314/T298</f>
        <v>1.2238516666666668E-2</v>
      </c>
      <c r="U315" s="1027">
        <f>U314/U298</f>
        <v>1.2238516666666669E-2</v>
      </c>
      <c r="V315" s="1043"/>
      <c r="W315" s="1026">
        <f>W314/W298</f>
        <v>1.2238516666666669E-2</v>
      </c>
      <c r="X315" s="1026">
        <f>X314/X298</f>
        <v>1.2238516666666668E-2</v>
      </c>
      <c r="Y315" s="1026">
        <f>Y314/Y298</f>
        <v>1.2238516666666669E-2</v>
      </c>
      <c r="Z315" s="1026">
        <f>Z314/Z298</f>
        <v>1.2238516666666669E-2</v>
      </c>
      <c r="AA315" s="1027">
        <f>AA314/AA298</f>
        <v>1.2238516666666669E-2</v>
      </c>
      <c r="AB315" s="958"/>
      <c r="AC315" s="958"/>
      <c r="AD315" s="958"/>
      <c r="AE315" s="958"/>
      <c r="AF315" s="958"/>
      <c r="AG315" s="958"/>
      <c r="AH315" s="958"/>
      <c r="AI315" s="958"/>
      <c r="AJ315" s="958"/>
      <c r="AK315" s="958"/>
      <c r="AL315" s="958"/>
      <c r="AM315" s="958"/>
      <c r="AN315" s="958"/>
      <c r="AO315" s="1048"/>
      <c r="AT315" s="513"/>
      <c r="AU315" s="513"/>
      <c r="AV315" s="513"/>
      <c r="AW315" s="513"/>
    </row>
    <row r="316" spans="2:49" ht="15.75" thickBot="1" x14ac:dyDescent="0.3">
      <c r="B316" s="1048"/>
      <c r="C316" s="958"/>
      <c r="D316" s="958"/>
      <c r="E316" s="958"/>
      <c r="F316" s="958"/>
      <c r="G316" s="958"/>
      <c r="H316" s="958"/>
      <c r="I316" s="958"/>
      <c r="J316" s="958"/>
      <c r="K316" s="958"/>
      <c r="L316" s="958"/>
      <c r="M316" s="958"/>
      <c r="N316" s="958"/>
      <c r="O316" s="958"/>
      <c r="P316" s="1143"/>
      <c r="Q316" s="1143"/>
      <c r="R316" s="1142"/>
      <c r="S316" s="958"/>
      <c r="T316" s="958"/>
      <c r="U316" s="958"/>
      <c r="V316" s="958"/>
      <c r="W316" s="958"/>
      <c r="X316" s="958"/>
      <c r="Y316" s="958"/>
      <c r="Z316" s="958"/>
      <c r="AA316" s="958"/>
      <c r="AB316" s="958"/>
      <c r="AC316" s="958"/>
      <c r="AD316" s="958"/>
      <c r="AE316" s="958"/>
      <c r="AF316" s="958"/>
      <c r="AG316" s="958"/>
      <c r="AH316" s="958"/>
      <c r="AI316" s="958"/>
      <c r="AJ316" s="958"/>
      <c r="AK316" s="958"/>
      <c r="AL316" s="958"/>
      <c r="AM316" s="958"/>
      <c r="AN316" s="958"/>
      <c r="AO316" s="1048"/>
    </row>
    <row r="317" spans="2:49" ht="15.75" thickBot="1" x14ac:dyDescent="0.3">
      <c r="B317" s="1048"/>
      <c r="C317" s="958"/>
      <c r="D317" s="2014" t="s">
        <v>185</v>
      </c>
      <c r="E317" s="2015">
        <v>2010</v>
      </c>
      <c r="F317" s="2015">
        <v>2020</v>
      </c>
      <c r="G317" s="2015">
        <v>2030</v>
      </c>
      <c r="H317" s="2015">
        <v>2040</v>
      </c>
      <c r="I317" s="2016">
        <v>2050</v>
      </c>
      <c r="J317" s="2008" t="s">
        <v>186</v>
      </c>
      <c r="K317" s="2009">
        <v>2010</v>
      </c>
      <c r="L317" s="2009">
        <v>2020</v>
      </c>
      <c r="M317" s="2009">
        <v>2030</v>
      </c>
      <c r="N317" s="2009">
        <v>2040</v>
      </c>
      <c r="O317" s="2010">
        <v>2050</v>
      </c>
      <c r="P317" s="1143"/>
      <c r="Q317" s="1143"/>
      <c r="R317" s="1142"/>
      <c r="S317" s="958"/>
      <c r="T317" s="958"/>
      <c r="U317" s="958"/>
      <c r="V317" s="958"/>
      <c r="W317" s="958"/>
      <c r="X317" s="958"/>
      <c r="Y317" s="958"/>
      <c r="Z317" s="958"/>
      <c r="AA317" s="958"/>
      <c r="AB317" s="958"/>
      <c r="AC317" s="958"/>
      <c r="AD317" s="958"/>
      <c r="AE317" s="958"/>
      <c r="AF317" s="958"/>
      <c r="AG317" s="958"/>
      <c r="AH317" s="958"/>
      <c r="AI317" s="958"/>
      <c r="AJ317" s="958"/>
      <c r="AK317" s="958"/>
      <c r="AL317" s="958"/>
      <c r="AM317" s="958"/>
      <c r="AN317" s="958"/>
      <c r="AO317" s="1048"/>
    </row>
    <row r="318" spans="2:49" ht="15.75" thickBot="1" x14ac:dyDescent="0.3">
      <c r="B318" s="1048"/>
      <c r="C318" s="958"/>
      <c r="D318" s="971" t="s">
        <v>391</v>
      </c>
      <c r="E318" s="983">
        <v>2010</v>
      </c>
      <c r="F318" s="983">
        <v>2020</v>
      </c>
      <c r="G318" s="983">
        <v>2030</v>
      </c>
      <c r="H318" s="983">
        <v>2040</v>
      </c>
      <c r="I318" s="984">
        <v>2050</v>
      </c>
      <c r="J318" s="971" t="s">
        <v>391</v>
      </c>
      <c r="K318" s="983">
        <v>2010</v>
      </c>
      <c r="L318" s="983">
        <v>2020</v>
      </c>
      <c r="M318" s="983">
        <v>2030</v>
      </c>
      <c r="N318" s="983">
        <v>2040</v>
      </c>
      <c r="O318" s="984">
        <v>2050</v>
      </c>
      <c r="P318" s="1144"/>
      <c r="Q318" s="1144"/>
      <c r="R318" s="1142"/>
      <c r="S318" s="958"/>
      <c r="T318" s="958"/>
      <c r="U318" s="958"/>
      <c r="V318" s="958"/>
      <c r="W318" s="958"/>
      <c r="X318" s="958"/>
      <c r="Y318" s="958"/>
      <c r="Z318" s="958"/>
      <c r="AA318" s="958"/>
      <c r="AB318" s="958"/>
      <c r="AC318" s="958"/>
      <c r="AD318" s="958"/>
      <c r="AE318" s="958"/>
      <c r="AF318" s="958"/>
      <c r="AG318" s="958"/>
      <c r="AH318" s="958"/>
      <c r="AI318" s="958"/>
      <c r="AJ318" s="958"/>
      <c r="AK318" s="958"/>
      <c r="AL318" s="958"/>
      <c r="AM318" s="958"/>
      <c r="AN318" s="958"/>
      <c r="AO318" s="1048"/>
    </row>
    <row r="319" spans="2:49" ht="15.75" x14ac:dyDescent="0.25">
      <c r="B319" s="1048"/>
      <c r="C319" s="958"/>
      <c r="D319" s="1000"/>
      <c r="E319" s="1099"/>
      <c r="F319" s="1099"/>
      <c r="G319" s="1099"/>
      <c r="H319" s="1099"/>
      <c r="I319" s="1100"/>
      <c r="J319" s="999" t="str">
        <f t="shared" ref="J319:J324" si="136">J335</f>
        <v>Fuel cell hybrid truck Syn-methanol</v>
      </c>
      <c r="K319" s="1089">
        <f t="shared" ref="K319:K329" si="137">AI287+W303</f>
        <v>0</v>
      </c>
      <c r="L319" s="1089">
        <f t="shared" ref="L319:L329" si="138">AJ287+X303</f>
        <v>0</v>
      </c>
      <c r="M319" s="1089">
        <f t="shared" ref="M319:M329" si="139">AK287+Y303</f>
        <v>0</v>
      </c>
      <c r="N319" s="1089">
        <f t="shared" ref="N319:N329" si="140">AL287+Z303</f>
        <v>0</v>
      </c>
      <c r="O319" s="1090">
        <f t="shared" ref="O319:O329" si="141">AM287+AA303</f>
        <v>0</v>
      </c>
      <c r="P319" s="1144"/>
      <c r="Q319" s="1144"/>
      <c r="R319" s="1142"/>
      <c r="S319" s="958"/>
      <c r="T319" s="958"/>
      <c r="U319" s="958"/>
      <c r="V319" s="958"/>
      <c r="W319" s="958"/>
      <c r="X319" s="958"/>
      <c r="Y319" s="958"/>
      <c r="Z319" s="958"/>
      <c r="AA319" s="958"/>
      <c r="AB319" s="958"/>
      <c r="AC319" s="958"/>
      <c r="AD319" s="958"/>
      <c r="AE319" s="958"/>
      <c r="AF319" s="958"/>
      <c r="AG319" s="958"/>
      <c r="AH319" s="958"/>
      <c r="AI319" s="958"/>
      <c r="AJ319" s="958"/>
      <c r="AK319" s="958"/>
      <c r="AL319" s="958"/>
      <c r="AM319" s="958"/>
      <c r="AN319" s="958"/>
      <c r="AO319" s="1048"/>
    </row>
    <row r="320" spans="2:49" ht="15.75" x14ac:dyDescent="0.25">
      <c r="B320" s="1048"/>
      <c r="C320" s="958"/>
      <c r="D320" s="986"/>
      <c r="E320" s="1081"/>
      <c r="F320" s="1081"/>
      <c r="G320" s="1081"/>
      <c r="H320" s="1081"/>
      <c r="I320" s="1082"/>
      <c r="J320" s="986" t="str">
        <f t="shared" si="136"/>
        <v>ICE Biogas</v>
      </c>
      <c r="K320" s="1083">
        <f t="shared" si="137"/>
        <v>0</v>
      </c>
      <c r="L320" s="1083">
        <f t="shared" si="138"/>
        <v>0</v>
      </c>
      <c r="M320" s="1083">
        <f t="shared" si="139"/>
        <v>0</v>
      </c>
      <c r="N320" s="1083">
        <f t="shared" si="140"/>
        <v>0</v>
      </c>
      <c r="O320" s="1084">
        <f t="shared" si="141"/>
        <v>0</v>
      </c>
      <c r="P320" s="1144"/>
      <c r="Q320" s="1144"/>
      <c r="R320" s="1142"/>
      <c r="S320" s="958"/>
      <c r="T320" s="958"/>
      <c r="U320" s="958"/>
      <c r="V320" s="958"/>
      <c r="W320" s="958"/>
      <c r="X320" s="958"/>
      <c r="Y320" s="958"/>
      <c r="Z320" s="958"/>
      <c r="AA320" s="958"/>
      <c r="AB320" s="958"/>
      <c r="AC320" s="958"/>
      <c r="AD320" s="958"/>
      <c r="AE320" s="958"/>
      <c r="AF320" s="958"/>
      <c r="AG320" s="958"/>
      <c r="AH320" s="958"/>
      <c r="AI320" s="958"/>
      <c r="AJ320" s="958"/>
      <c r="AK320" s="958"/>
      <c r="AL320" s="958"/>
      <c r="AM320" s="958"/>
      <c r="AN320" s="958"/>
      <c r="AO320" s="1048"/>
    </row>
    <row r="321" spans="2:56" ht="15.75" x14ac:dyDescent="0.25">
      <c r="B321" s="1048"/>
      <c r="C321" s="958"/>
      <c r="D321" s="986"/>
      <c r="E321" s="1101"/>
      <c r="F321" s="1101"/>
      <c r="G321" s="1101"/>
      <c r="H321" s="1101"/>
      <c r="I321" s="1102"/>
      <c r="J321" s="986" t="str">
        <f t="shared" si="136"/>
        <v>ICE hybrid vehicle Biogas</v>
      </c>
      <c r="K321" s="1083">
        <f t="shared" si="137"/>
        <v>0</v>
      </c>
      <c r="L321" s="1083">
        <f t="shared" si="138"/>
        <v>0</v>
      </c>
      <c r="M321" s="1083">
        <f t="shared" si="139"/>
        <v>0</v>
      </c>
      <c r="N321" s="1083">
        <f t="shared" si="140"/>
        <v>0</v>
      </c>
      <c r="O321" s="1084">
        <f t="shared" si="141"/>
        <v>0</v>
      </c>
      <c r="P321" s="1144"/>
      <c r="Q321" s="1144"/>
      <c r="R321" s="1142"/>
      <c r="S321" s="958"/>
      <c r="T321" s="958"/>
      <c r="U321" s="958"/>
      <c r="V321" s="958"/>
      <c r="W321" s="958"/>
      <c r="X321" s="958"/>
      <c r="Y321" s="958"/>
      <c r="Z321" s="958"/>
      <c r="AA321" s="958"/>
      <c r="AB321" s="958"/>
      <c r="AC321" s="958"/>
      <c r="AD321" s="958"/>
      <c r="AE321" s="958"/>
      <c r="AF321" s="958"/>
      <c r="AG321" s="958"/>
      <c r="AH321" s="958"/>
      <c r="AI321" s="958"/>
      <c r="AJ321" s="958"/>
      <c r="AK321" s="958"/>
      <c r="AL321" s="958"/>
      <c r="AM321" s="958"/>
      <c r="AN321" s="958"/>
      <c r="AO321" s="1048"/>
    </row>
    <row r="322" spans="2:56" ht="15.75" x14ac:dyDescent="0.25">
      <c r="B322" s="1048"/>
      <c r="C322" s="958"/>
      <c r="D322" s="986" t="str">
        <f>$D$274</f>
        <v>Biodiesel</v>
      </c>
      <c r="E322" s="1083">
        <f>AC290+Q306</f>
        <v>43.378093782329529</v>
      </c>
      <c r="F322" s="1083">
        <f>AD290+R306</f>
        <v>517.59154665528899</v>
      </c>
      <c r="G322" s="1083">
        <f>AE290+S306</f>
        <v>536.95588870578513</v>
      </c>
      <c r="H322" s="1083">
        <f>AF290+T306</f>
        <v>550.15688172967225</v>
      </c>
      <c r="I322" s="1084">
        <f>AG290+U306</f>
        <v>563.35787475355937</v>
      </c>
      <c r="J322" s="986" t="str">
        <f t="shared" si="136"/>
        <v>ICE Bio-methanol</v>
      </c>
      <c r="K322" s="1083">
        <f t="shared" si="137"/>
        <v>0</v>
      </c>
      <c r="L322" s="1083">
        <f t="shared" si="138"/>
        <v>0</v>
      </c>
      <c r="M322" s="1083">
        <f t="shared" si="139"/>
        <v>0</v>
      </c>
      <c r="N322" s="1083">
        <f t="shared" si="140"/>
        <v>0</v>
      </c>
      <c r="O322" s="1084">
        <f t="shared" si="141"/>
        <v>0</v>
      </c>
      <c r="P322" s="1144"/>
      <c r="Q322" s="1144"/>
      <c r="R322" s="1142"/>
      <c r="S322" s="958"/>
      <c r="T322" s="958"/>
      <c r="U322" s="958"/>
      <c r="V322" s="958"/>
      <c r="W322" s="958"/>
      <c r="X322" s="958"/>
      <c r="Y322" s="958"/>
      <c r="Z322" s="958"/>
      <c r="AA322" s="958"/>
      <c r="AB322" s="958"/>
      <c r="AC322" s="958"/>
      <c r="AD322" s="958"/>
      <c r="AE322" s="958"/>
      <c r="AF322" s="958"/>
      <c r="AG322" s="958"/>
      <c r="AH322" s="958"/>
      <c r="AI322" s="958"/>
      <c r="AJ322" s="958"/>
      <c r="AK322" s="958"/>
      <c r="AL322" s="958"/>
      <c r="AM322" s="958"/>
      <c r="AN322" s="958"/>
      <c r="AO322" s="1048"/>
    </row>
    <row r="323" spans="2:56" ht="15.75" x14ac:dyDescent="0.25">
      <c r="B323" s="1048"/>
      <c r="C323" s="958"/>
      <c r="D323" s="986"/>
      <c r="E323" s="1083"/>
      <c r="F323" s="1083"/>
      <c r="G323" s="1083"/>
      <c r="H323" s="1083"/>
      <c r="I323" s="1084"/>
      <c r="J323" s="986" t="str">
        <f t="shared" si="136"/>
        <v>ICE hybrid vehicle Bio-methanol</v>
      </c>
      <c r="K323" s="1083">
        <f t="shared" si="137"/>
        <v>0</v>
      </c>
      <c r="L323" s="1083">
        <f t="shared" si="138"/>
        <v>0</v>
      </c>
      <c r="M323" s="1083">
        <f t="shared" si="139"/>
        <v>0</v>
      </c>
      <c r="N323" s="1083">
        <f t="shared" si="140"/>
        <v>0</v>
      </c>
      <c r="O323" s="1084">
        <f t="shared" si="141"/>
        <v>0</v>
      </c>
      <c r="P323" s="1144"/>
      <c r="Q323" s="1144"/>
      <c r="R323" s="1142"/>
      <c r="S323" s="958"/>
      <c r="T323" s="958"/>
      <c r="U323" s="958"/>
      <c r="V323" s="958"/>
      <c r="W323" s="958"/>
      <c r="X323" s="958"/>
      <c r="Y323" s="958"/>
      <c r="Z323" s="958"/>
      <c r="AA323" s="958"/>
      <c r="AB323" s="958"/>
      <c r="AC323" s="958"/>
      <c r="AD323" s="958"/>
      <c r="AE323" s="958"/>
      <c r="AF323" s="958"/>
      <c r="AG323" s="958"/>
      <c r="AH323" s="958"/>
      <c r="AI323" s="958"/>
      <c r="AJ323" s="958"/>
      <c r="AK323" s="958"/>
      <c r="AL323" s="958"/>
      <c r="AM323" s="958"/>
      <c r="AN323" s="958"/>
      <c r="AO323" s="1048"/>
    </row>
    <row r="324" spans="2:56" ht="15.75" x14ac:dyDescent="0.25">
      <c r="B324" s="1048"/>
      <c r="C324" s="958"/>
      <c r="D324" s="986"/>
      <c r="E324" s="1101"/>
      <c r="F324" s="1101"/>
      <c r="G324" s="1101"/>
      <c r="H324" s="1101"/>
      <c r="I324" s="1102"/>
      <c r="J324" s="986" t="str">
        <f t="shared" si="136"/>
        <v>ICE Diesel Hybrid</v>
      </c>
      <c r="K324" s="1083">
        <f t="shared" si="137"/>
        <v>0</v>
      </c>
      <c r="L324" s="1083">
        <f t="shared" si="138"/>
        <v>0</v>
      </c>
      <c r="M324" s="1083">
        <f t="shared" si="139"/>
        <v>0</v>
      </c>
      <c r="N324" s="1083">
        <f t="shared" si="140"/>
        <v>0</v>
      </c>
      <c r="O324" s="1084">
        <f t="shared" si="141"/>
        <v>0</v>
      </c>
      <c r="P324" s="1144"/>
      <c r="Q324" s="1144"/>
      <c r="R324" s="1142"/>
      <c r="S324" s="958"/>
      <c r="T324" s="958"/>
      <c r="U324" s="958"/>
      <c r="V324" s="958"/>
      <c r="W324" s="958"/>
      <c r="X324" s="958"/>
      <c r="Y324" s="958"/>
      <c r="Z324" s="958"/>
      <c r="AA324" s="958"/>
      <c r="AB324" s="958"/>
      <c r="AC324" s="958"/>
      <c r="AD324" s="958"/>
      <c r="AE324" s="958"/>
      <c r="AF324" s="958"/>
      <c r="AG324" s="958"/>
      <c r="AH324" s="958"/>
      <c r="AI324" s="958"/>
      <c r="AJ324" s="958"/>
      <c r="AK324" s="958"/>
      <c r="AL324" s="958"/>
      <c r="AM324" s="958"/>
      <c r="AN324" s="958"/>
      <c r="AO324" s="1048"/>
    </row>
    <row r="325" spans="2:56" ht="15.75" x14ac:dyDescent="0.25">
      <c r="B325" s="1048"/>
      <c r="C325" s="958"/>
      <c r="D325" s="986"/>
      <c r="E325" s="1101"/>
      <c r="F325" s="1101"/>
      <c r="G325" s="1101"/>
      <c r="H325" s="1101"/>
      <c r="I325" s="1102"/>
      <c r="J325" s="986" t="s">
        <v>483</v>
      </c>
      <c r="K325" s="1083">
        <f t="shared" si="137"/>
        <v>0</v>
      </c>
      <c r="L325" s="1083">
        <f t="shared" si="138"/>
        <v>0</v>
      </c>
      <c r="M325" s="1083">
        <f t="shared" si="139"/>
        <v>0</v>
      </c>
      <c r="N325" s="1083">
        <f t="shared" si="140"/>
        <v>0</v>
      </c>
      <c r="O325" s="1084">
        <f t="shared" si="141"/>
        <v>0</v>
      </c>
      <c r="P325" s="1144"/>
      <c r="Q325" s="1144"/>
      <c r="R325" s="1142"/>
      <c r="S325" s="958"/>
      <c r="T325" s="958"/>
      <c r="U325" s="958"/>
      <c r="V325" s="958"/>
      <c r="W325" s="958"/>
      <c r="X325" s="958"/>
      <c r="Y325" s="958"/>
      <c r="Z325" s="958"/>
      <c r="AA325" s="958"/>
      <c r="AB325" s="958"/>
      <c r="AC325" s="958"/>
      <c r="AD325" s="958"/>
      <c r="AE325" s="958"/>
      <c r="AF325" s="958"/>
      <c r="AG325" s="958"/>
      <c r="AH325" s="958"/>
      <c r="AI325" s="958"/>
      <c r="AJ325" s="958"/>
      <c r="AK325" s="958"/>
      <c r="AL325" s="958"/>
      <c r="AM325" s="958"/>
      <c r="AN325" s="958"/>
      <c r="AO325" s="1048"/>
    </row>
    <row r="326" spans="2:56" ht="15.75" x14ac:dyDescent="0.25">
      <c r="B326" s="1048"/>
      <c r="C326" s="958"/>
      <c r="D326" s="986" t="str">
        <f>$D$278</f>
        <v>Diesel</v>
      </c>
      <c r="E326" s="1083">
        <f>AC294+Q310</f>
        <v>9803.1030929943772</v>
      </c>
      <c r="F326" s="1083">
        <f>AD294+R310</f>
        <v>9634.7559654280503</v>
      </c>
      <c r="G326" s="1083">
        <f>AE294+S310</f>
        <v>9995.2153108196762</v>
      </c>
      <c r="H326" s="1083">
        <f>AF294+T310</f>
        <v>10240.946422752184</v>
      </c>
      <c r="I326" s="1084">
        <f>AG294+U310</f>
        <v>10486.677534684695</v>
      </c>
      <c r="J326" s="986" t="str">
        <f t="shared" ref="J326:J329" si="142">J342</f>
        <v>ICE Diesel</v>
      </c>
      <c r="K326" s="1083">
        <f t="shared" si="137"/>
        <v>0</v>
      </c>
      <c r="L326" s="1083">
        <f t="shared" si="138"/>
        <v>0</v>
      </c>
      <c r="M326" s="1083">
        <f t="shared" si="139"/>
        <v>0</v>
      </c>
      <c r="N326" s="1083">
        <f t="shared" si="140"/>
        <v>0</v>
      </c>
      <c r="O326" s="1084">
        <f t="shared" si="141"/>
        <v>0</v>
      </c>
      <c r="P326" s="1144"/>
      <c r="Q326" s="1144"/>
      <c r="R326" s="1142"/>
      <c r="S326" s="958"/>
      <c r="T326" s="958"/>
      <c r="U326" s="958"/>
      <c r="V326" s="958"/>
      <c r="W326" s="958"/>
      <c r="X326" s="958"/>
      <c r="Y326" s="958"/>
      <c r="Z326" s="958"/>
      <c r="AA326" s="958"/>
      <c r="AB326" s="958"/>
      <c r="AC326" s="958"/>
      <c r="AD326" s="958"/>
      <c r="AE326" s="958"/>
      <c r="AF326" s="958"/>
      <c r="AG326" s="958"/>
      <c r="AH326" s="958"/>
      <c r="AI326" s="958"/>
      <c r="AJ326" s="958"/>
      <c r="AK326" s="958"/>
      <c r="AL326" s="958"/>
      <c r="AM326" s="958"/>
      <c r="AN326" s="958"/>
      <c r="AO326" s="1048"/>
    </row>
    <row r="327" spans="2:56" ht="15.75" x14ac:dyDescent="0.25">
      <c r="B327" s="1048"/>
      <c r="C327" s="958"/>
      <c r="D327" s="1004"/>
      <c r="E327" s="634"/>
      <c r="F327" s="634"/>
      <c r="G327" s="634"/>
      <c r="H327" s="634"/>
      <c r="I327" s="987"/>
      <c r="J327" s="986" t="str">
        <f t="shared" si="142"/>
        <v>ICE Syn-methanol</v>
      </c>
      <c r="K327" s="1083">
        <f t="shared" si="137"/>
        <v>0</v>
      </c>
      <c r="L327" s="1083">
        <f t="shared" si="138"/>
        <v>0</v>
      </c>
      <c r="M327" s="1083">
        <f t="shared" si="139"/>
        <v>0</v>
      </c>
      <c r="N327" s="1083">
        <f t="shared" si="140"/>
        <v>0</v>
      </c>
      <c r="O327" s="1084">
        <f t="shared" si="141"/>
        <v>0</v>
      </c>
      <c r="P327" s="1144"/>
      <c r="Q327" s="1144"/>
      <c r="R327" s="1142"/>
      <c r="S327" s="958"/>
      <c r="T327" s="958"/>
      <c r="U327" s="958"/>
      <c r="V327" s="958"/>
      <c r="W327" s="958"/>
      <c r="X327" s="958"/>
      <c r="Y327" s="958"/>
      <c r="Z327" s="958"/>
      <c r="AA327" s="958"/>
      <c r="AB327" s="958"/>
      <c r="AC327" s="958"/>
      <c r="AD327" s="958"/>
      <c r="AE327" s="958"/>
      <c r="AF327" s="958"/>
      <c r="AG327" s="958"/>
      <c r="AH327" s="958"/>
      <c r="AI327" s="958"/>
      <c r="AJ327" s="958"/>
      <c r="AK327" s="958"/>
      <c r="AL327" s="958"/>
      <c r="AM327" s="958"/>
      <c r="AN327" s="958"/>
      <c r="AO327" s="1048"/>
    </row>
    <row r="328" spans="2:56" ht="15.75" x14ac:dyDescent="0.25">
      <c r="B328" s="1048"/>
      <c r="C328" s="958"/>
      <c r="D328" s="986"/>
      <c r="E328" s="1101"/>
      <c r="F328" s="1101"/>
      <c r="G328" s="1101"/>
      <c r="H328" s="1101"/>
      <c r="I328" s="1102"/>
      <c r="J328" s="986" t="str">
        <f t="shared" si="142"/>
        <v>ICE Hybrid Syn-methanol</v>
      </c>
      <c r="K328" s="1083">
        <f t="shared" si="137"/>
        <v>0</v>
      </c>
      <c r="L328" s="1083">
        <f t="shared" si="138"/>
        <v>0</v>
      </c>
      <c r="M328" s="1083">
        <f t="shared" si="139"/>
        <v>0</v>
      </c>
      <c r="N328" s="1083">
        <f t="shared" si="140"/>
        <v>0</v>
      </c>
      <c r="O328" s="1084">
        <f t="shared" si="141"/>
        <v>0</v>
      </c>
      <c r="P328" s="1144"/>
      <c r="Q328" s="1144"/>
      <c r="R328" s="1142"/>
      <c r="S328" s="958"/>
      <c r="T328" s="958"/>
      <c r="U328" s="958"/>
      <c r="V328" s="958"/>
      <c r="W328" s="958"/>
      <c r="X328" s="958"/>
      <c r="Y328" s="958"/>
      <c r="Z328" s="958"/>
      <c r="AA328" s="958"/>
      <c r="AB328" s="958"/>
      <c r="AC328" s="958"/>
      <c r="AD328" s="958"/>
      <c r="AE328" s="958"/>
      <c r="AF328" s="958"/>
      <c r="AG328" s="958"/>
      <c r="AH328" s="958"/>
      <c r="AI328" s="958"/>
      <c r="AJ328" s="958"/>
      <c r="AK328" s="958"/>
      <c r="AL328" s="958"/>
      <c r="AM328" s="958"/>
      <c r="AN328" s="958"/>
      <c r="AO328" s="1048"/>
    </row>
    <row r="329" spans="2:56" ht="16.5" thickBot="1" x14ac:dyDescent="0.3">
      <c r="B329" s="1048"/>
      <c r="C329" s="958"/>
      <c r="D329" s="994"/>
      <c r="E329" s="1103"/>
      <c r="F329" s="1103"/>
      <c r="G329" s="1103"/>
      <c r="H329" s="1103"/>
      <c r="I329" s="1104"/>
      <c r="J329" s="994" t="str">
        <f t="shared" si="142"/>
        <v>No shift in technology</v>
      </c>
      <c r="K329" s="1091">
        <f t="shared" si="137"/>
        <v>9846.4811867767112</v>
      </c>
      <c r="L329" s="1091">
        <f t="shared" si="138"/>
        <v>10152.347512083337</v>
      </c>
      <c r="M329" s="1091">
        <f t="shared" si="139"/>
        <v>10532.171199525461</v>
      </c>
      <c r="N329" s="1091">
        <f t="shared" si="140"/>
        <v>10791.103304481858</v>
      </c>
      <c r="O329" s="1092">
        <f t="shared" si="141"/>
        <v>11050.035409438253</v>
      </c>
      <c r="P329" s="1144"/>
      <c r="Q329" s="1144"/>
      <c r="R329" s="1142"/>
      <c r="S329" s="958"/>
      <c r="T329" s="958"/>
      <c r="U329" s="958"/>
      <c r="V329" s="958"/>
      <c r="W329" s="958"/>
      <c r="X329" s="958"/>
      <c r="Y329" s="958"/>
      <c r="Z329" s="958"/>
      <c r="AA329" s="958"/>
      <c r="AB329" s="958"/>
      <c r="AC329" s="958"/>
      <c r="AD329" s="958"/>
      <c r="AE329" s="958"/>
      <c r="AF329" s="958"/>
      <c r="AG329" s="958"/>
      <c r="AH329" s="958"/>
      <c r="AI329" s="958"/>
      <c r="AJ329" s="958"/>
      <c r="AK329" s="958"/>
      <c r="AL329" s="958"/>
      <c r="AM329" s="958"/>
      <c r="AN329" s="958"/>
      <c r="AO329" s="1048"/>
    </row>
    <row r="330" spans="2:56" ht="17.25" thickTop="1" thickBot="1" x14ac:dyDescent="0.3">
      <c r="B330" s="1048"/>
      <c r="C330" s="958"/>
      <c r="D330" s="996" t="s">
        <v>60</v>
      </c>
      <c r="E330" s="1087">
        <f>SUM(E319:E329)</f>
        <v>9846.4811867767075</v>
      </c>
      <c r="F330" s="1087">
        <f>SUM(F319:F329)</f>
        <v>10152.347512083339</v>
      </c>
      <c r="G330" s="1087">
        <f>SUM(G319:G329)</f>
        <v>10532.171199525461</v>
      </c>
      <c r="H330" s="1087">
        <f>SUM(H319:H329)</f>
        <v>10791.103304481856</v>
      </c>
      <c r="I330" s="1088">
        <f>SUM(I319:I329)</f>
        <v>11050.035409438255</v>
      </c>
      <c r="J330" s="996" t="s">
        <v>60</v>
      </c>
      <c r="K330" s="1087">
        <f>SUM(K319:K329)</f>
        <v>9846.4811867767112</v>
      </c>
      <c r="L330" s="1087">
        <f>SUM(L319:L329)</f>
        <v>10152.347512083337</v>
      </c>
      <c r="M330" s="1087">
        <f>SUM(M319:M329)</f>
        <v>10532.171199525461</v>
      </c>
      <c r="N330" s="1087">
        <f>SUM(N319:N329)</f>
        <v>10791.103304481858</v>
      </c>
      <c r="O330" s="1088">
        <f>SUM(O319:O329)</f>
        <v>11050.035409438253</v>
      </c>
      <c r="P330" s="1142"/>
      <c r="Q330" s="1142"/>
      <c r="R330" s="1142"/>
      <c r="S330" s="958"/>
      <c r="T330" s="958"/>
      <c r="U330" s="958"/>
      <c r="V330" s="958"/>
      <c r="W330" s="958"/>
      <c r="X330" s="958"/>
      <c r="Y330" s="958"/>
      <c r="Z330" s="958"/>
      <c r="AA330" s="958"/>
      <c r="AB330" s="958"/>
      <c r="AC330" s="958"/>
      <c r="AD330" s="958"/>
      <c r="AE330" s="958"/>
      <c r="AF330" s="958"/>
      <c r="AG330" s="958"/>
      <c r="AH330" s="958"/>
      <c r="AI330" s="958"/>
      <c r="AJ330" s="958"/>
      <c r="AK330" s="958"/>
      <c r="AL330" s="958"/>
      <c r="AM330" s="958"/>
      <c r="AN330" s="958"/>
      <c r="AO330" s="1048"/>
      <c r="AT330" s="513"/>
      <c r="AU330" s="513"/>
      <c r="AV330" s="513"/>
      <c r="AW330" s="513"/>
    </row>
    <row r="331" spans="2:56" x14ac:dyDescent="0.25">
      <c r="B331" s="1048"/>
      <c r="C331" s="958"/>
      <c r="D331" s="1142"/>
      <c r="E331" s="1142"/>
      <c r="F331" s="1142"/>
      <c r="G331" s="1142"/>
      <c r="H331" s="1142"/>
      <c r="I331" s="1142"/>
      <c r="J331" s="1142"/>
      <c r="K331" s="1142"/>
      <c r="L331" s="1142"/>
      <c r="M331" s="1142"/>
      <c r="N331" s="1142"/>
      <c r="O331" s="1142"/>
      <c r="P331" s="1142"/>
      <c r="Q331" s="1142"/>
      <c r="R331" s="1142"/>
      <c r="S331" s="1142"/>
      <c r="T331" s="1142"/>
      <c r="U331" s="1142"/>
      <c r="V331" s="1142"/>
      <c r="W331" s="1142"/>
      <c r="X331" s="1142"/>
      <c r="Y331" s="1142"/>
      <c r="Z331" s="1142"/>
      <c r="AA331" s="1142"/>
      <c r="AB331" s="1142"/>
      <c r="AC331" s="1142"/>
      <c r="AD331" s="1142"/>
      <c r="AE331" s="1142"/>
      <c r="AF331" s="1142"/>
      <c r="AG331" s="1142"/>
      <c r="AH331" s="1142"/>
      <c r="AI331" s="1142"/>
      <c r="AJ331" s="1142"/>
      <c r="AK331" s="1142"/>
      <c r="AL331" s="1142"/>
      <c r="AM331" s="1142"/>
      <c r="AN331" s="1142"/>
      <c r="AO331" s="1048"/>
      <c r="AP331" s="513"/>
      <c r="AQ331" s="513"/>
      <c r="AR331" s="513"/>
      <c r="AS331" s="513"/>
      <c r="AT331" s="513"/>
      <c r="AU331" s="513"/>
      <c r="AV331" s="513"/>
      <c r="AW331" s="513"/>
      <c r="AX331" s="513"/>
      <c r="AY331" s="513"/>
      <c r="AZ331" s="513"/>
      <c r="BA331" s="513"/>
      <c r="BB331" s="513"/>
      <c r="BC331" s="513"/>
      <c r="BD331" s="513"/>
    </row>
    <row r="332" spans="2:56" ht="15.75" thickBot="1" x14ac:dyDescent="0.3">
      <c r="B332" s="1048"/>
      <c r="C332" s="958"/>
      <c r="D332" s="958"/>
      <c r="E332" s="958"/>
      <c r="F332" s="958"/>
      <c r="G332" s="958"/>
      <c r="H332" s="958"/>
      <c r="I332" s="958"/>
      <c r="J332" s="958"/>
      <c r="K332" s="958"/>
      <c r="L332" s="958"/>
      <c r="M332" s="958"/>
      <c r="N332" s="958"/>
      <c r="O332" s="958"/>
      <c r="P332" s="1143"/>
      <c r="Q332" s="1142"/>
      <c r="R332" s="958"/>
      <c r="S332" s="958"/>
      <c r="T332" s="958"/>
      <c r="U332" s="958"/>
      <c r="V332" s="958"/>
      <c r="W332" s="958"/>
      <c r="X332" s="958"/>
      <c r="Y332" s="958"/>
      <c r="Z332" s="958"/>
      <c r="AA332" s="958"/>
      <c r="AB332" s="958"/>
      <c r="AC332" s="958"/>
      <c r="AD332" s="958"/>
      <c r="AE332" s="958"/>
      <c r="AF332" s="958"/>
      <c r="AG332" s="958"/>
      <c r="AH332" s="958"/>
      <c r="AI332" s="958"/>
      <c r="AJ332" s="958"/>
      <c r="AK332" s="958"/>
      <c r="AL332" s="958"/>
      <c r="AM332" s="958"/>
      <c r="AN332" s="958"/>
      <c r="AO332" s="1048"/>
      <c r="AS332" s="513"/>
      <c r="AT332" s="513"/>
      <c r="AU332" s="513"/>
      <c r="AV332" s="513"/>
    </row>
    <row r="333" spans="2:56" ht="15.75" thickBot="1" x14ac:dyDescent="0.3">
      <c r="B333" s="1048"/>
      <c r="C333" s="958"/>
      <c r="D333" s="958"/>
      <c r="E333" s="958"/>
      <c r="F333" s="958"/>
      <c r="G333" s="958"/>
      <c r="H333" s="958"/>
      <c r="I333" s="958"/>
      <c r="J333" s="2008" t="s">
        <v>192</v>
      </c>
      <c r="K333" s="2009">
        <v>2010</v>
      </c>
      <c r="L333" s="2009">
        <v>2020</v>
      </c>
      <c r="M333" s="2009">
        <v>2030</v>
      </c>
      <c r="N333" s="2009">
        <v>2040</v>
      </c>
      <c r="O333" s="2010">
        <v>2050</v>
      </c>
      <c r="P333" s="2026" t="s">
        <v>229</v>
      </c>
      <c r="Q333" s="2027"/>
      <c r="R333" s="2028"/>
      <c r="S333" s="958"/>
      <c r="T333" s="958"/>
      <c r="U333" s="958"/>
      <c r="V333" s="958"/>
      <c r="W333" s="958"/>
      <c r="X333" s="958"/>
      <c r="Y333" s="958"/>
      <c r="Z333" s="958"/>
      <c r="AA333" s="958"/>
      <c r="AB333" s="958"/>
      <c r="AC333" s="958"/>
      <c r="AD333" s="958"/>
      <c r="AE333" s="958"/>
      <c r="AF333" s="958"/>
      <c r="AG333" s="958"/>
      <c r="AH333" s="958"/>
      <c r="AI333" s="958"/>
      <c r="AJ333" s="958"/>
      <c r="AK333" s="958"/>
      <c r="AL333" s="958"/>
      <c r="AM333" s="958"/>
      <c r="AN333" s="958"/>
      <c r="AO333" s="1048"/>
      <c r="AS333" s="513"/>
      <c r="AT333" s="513"/>
      <c r="AU333" s="513"/>
      <c r="AV333" s="513"/>
    </row>
    <row r="334" spans="2:56" ht="15.75" thickBot="1" x14ac:dyDescent="0.3">
      <c r="B334" s="1048"/>
      <c r="C334" s="958"/>
      <c r="D334" s="958"/>
      <c r="E334" s="958"/>
      <c r="F334" s="958"/>
      <c r="G334" s="958"/>
      <c r="H334" s="958"/>
      <c r="I334" s="958"/>
      <c r="J334" s="971" t="s">
        <v>391</v>
      </c>
      <c r="K334" s="983">
        <v>2010</v>
      </c>
      <c r="L334" s="983">
        <v>2020</v>
      </c>
      <c r="M334" s="983">
        <v>2030</v>
      </c>
      <c r="N334" s="983">
        <v>2040</v>
      </c>
      <c r="O334" s="984">
        <v>2050</v>
      </c>
      <c r="P334" s="2029"/>
      <c r="Q334" s="2030"/>
      <c r="R334" s="2031"/>
      <c r="S334" s="958"/>
      <c r="T334" s="958"/>
      <c r="U334" s="958"/>
      <c r="V334" s="958"/>
      <c r="W334" s="958"/>
      <c r="X334" s="958"/>
      <c r="Y334" s="958"/>
      <c r="Z334" s="958"/>
      <c r="AA334" s="958"/>
      <c r="AB334" s="958"/>
      <c r="AC334" s="958"/>
      <c r="AD334" s="958"/>
      <c r="AE334" s="958"/>
      <c r="AF334" s="958"/>
      <c r="AG334" s="958"/>
      <c r="AH334" s="958"/>
      <c r="AI334" s="958"/>
      <c r="AJ334" s="958"/>
      <c r="AK334" s="958"/>
      <c r="AL334" s="958"/>
      <c r="AM334" s="958"/>
      <c r="AN334" s="958"/>
      <c r="AO334" s="1048"/>
    </row>
    <row r="335" spans="2:56" ht="16.5" thickBot="1" x14ac:dyDescent="0.3">
      <c r="B335" s="1048"/>
      <c r="C335" s="958"/>
      <c r="D335" s="958"/>
      <c r="E335" s="958"/>
      <c r="F335" s="958"/>
      <c r="G335" s="958"/>
      <c r="H335" s="958"/>
      <c r="I335" s="958"/>
      <c r="J335" s="999" t="str">
        <f t="shared" ref="J335:J340" si="143">J271</f>
        <v>Fuel cell hybrid truck Syn-methanol</v>
      </c>
      <c r="K335" s="1083">
        <f t="shared" ref="K335:O337" si="144">K319-E319</f>
        <v>0</v>
      </c>
      <c r="L335" s="1083">
        <f t="shared" si="144"/>
        <v>0</v>
      </c>
      <c r="M335" s="1083">
        <f t="shared" si="144"/>
        <v>0</v>
      </c>
      <c r="N335" s="1083">
        <f t="shared" si="144"/>
        <v>0</v>
      </c>
      <c r="O335" s="1084">
        <f t="shared" si="144"/>
        <v>0</v>
      </c>
      <c r="P335" s="2032"/>
      <c r="Q335" s="2033"/>
      <c r="R335" s="2034"/>
      <c r="S335" s="958"/>
      <c r="T335" s="958"/>
      <c r="U335" s="958"/>
      <c r="V335" s="958"/>
      <c r="W335" s="958"/>
      <c r="X335" s="958"/>
      <c r="Y335" s="958"/>
      <c r="Z335" s="958"/>
      <c r="AA335" s="958"/>
      <c r="AB335" s="958"/>
      <c r="AC335" s="958"/>
      <c r="AD335" s="958"/>
      <c r="AE335" s="958"/>
      <c r="AF335" s="958"/>
      <c r="AG335" s="958"/>
      <c r="AH335" s="958"/>
      <c r="AI335" s="958"/>
      <c r="AJ335" s="958"/>
      <c r="AK335" s="958"/>
      <c r="AL335" s="958"/>
      <c r="AM335" s="958"/>
      <c r="AN335" s="958"/>
      <c r="AO335" s="1048"/>
    </row>
    <row r="336" spans="2:56" ht="15.75" x14ac:dyDescent="0.25">
      <c r="B336" s="1048"/>
      <c r="C336" s="958"/>
      <c r="D336" s="958"/>
      <c r="E336" s="958"/>
      <c r="F336" s="958"/>
      <c r="G336" s="958"/>
      <c r="H336" s="958"/>
      <c r="I336" s="958"/>
      <c r="J336" s="986" t="str">
        <f t="shared" si="143"/>
        <v>ICE Biogas</v>
      </c>
      <c r="K336" s="1083">
        <f t="shared" si="144"/>
        <v>0</v>
      </c>
      <c r="L336" s="1083">
        <f t="shared" si="144"/>
        <v>0</v>
      </c>
      <c r="M336" s="1083">
        <f t="shared" si="144"/>
        <v>0</v>
      </c>
      <c r="N336" s="1083">
        <f t="shared" si="144"/>
        <v>0</v>
      </c>
      <c r="O336" s="1084">
        <f t="shared" si="144"/>
        <v>0</v>
      </c>
      <c r="P336" s="1144"/>
      <c r="Q336" s="958"/>
      <c r="R336" s="958"/>
      <c r="S336" s="958"/>
      <c r="T336" s="958"/>
      <c r="U336" s="958"/>
      <c r="V336" s="958"/>
      <c r="W336" s="958"/>
      <c r="X336" s="958"/>
      <c r="Y336" s="958"/>
      <c r="Z336" s="958"/>
      <c r="AA336" s="958"/>
      <c r="AB336" s="958"/>
      <c r="AC336" s="958"/>
      <c r="AD336" s="958"/>
      <c r="AE336" s="958"/>
      <c r="AF336" s="958"/>
      <c r="AG336" s="958"/>
      <c r="AH336" s="958"/>
      <c r="AI336" s="958"/>
      <c r="AJ336" s="958"/>
      <c r="AK336" s="958"/>
      <c r="AL336" s="958"/>
      <c r="AM336" s="958"/>
      <c r="AN336" s="958"/>
      <c r="AO336" s="1048"/>
    </row>
    <row r="337" spans="2:46" ht="15.75" x14ac:dyDescent="0.25">
      <c r="B337" s="1048"/>
      <c r="C337" s="958"/>
      <c r="D337" s="958"/>
      <c r="E337" s="958"/>
      <c r="F337" s="958"/>
      <c r="G337" s="958"/>
      <c r="H337" s="958"/>
      <c r="I337" s="958"/>
      <c r="J337" s="986" t="str">
        <f t="shared" si="143"/>
        <v>ICE hybrid vehicle Biogas</v>
      </c>
      <c r="K337" s="1083">
        <f t="shared" si="144"/>
        <v>0</v>
      </c>
      <c r="L337" s="1083">
        <f t="shared" si="144"/>
        <v>0</v>
      </c>
      <c r="M337" s="1083">
        <f t="shared" si="144"/>
        <v>0</v>
      </c>
      <c r="N337" s="1083">
        <f t="shared" si="144"/>
        <v>0</v>
      </c>
      <c r="O337" s="1084">
        <f t="shared" si="144"/>
        <v>0</v>
      </c>
      <c r="P337" s="1144"/>
      <c r="Q337" s="958"/>
      <c r="R337" s="958"/>
      <c r="S337" s="958"/>
      <c r="T337" s="958"/>
      <c r="U337" s="958"/>
      <c r="V337" s="958"/>
      <c r="W337" s="958"/>
      <c r="X337" s="958"/>
      <c r="Y337" s="958"/>
      <c r="Z337" s="958"/>
      <c r="AA337" s="958"/>
      <c r="AB337" s="958"/>
      <c r="AC337" s="958"/>
      <c r="AD337" s="958"/>
      <c r="AE337" s="958"/>
      <c r="AF337" s="958"/>
      <c r="AG337" s="958"/>
      <c r="AH337" s="958"/>
      <c r="AI337" s="958"/>
      <c r="AJ337" s="958"/>
      <c r="AK337" s="958"/>
      <c r="AL337" s="958"/>
      <c r="AM337" s="958"/>
      <c r="AN337" s="958"/>
      <c r="AO337" s="1048"/>
    </row>
    <row r="338" spans="2:46" ht="15.75" x14ac:dyDescent="0.25">
      <c r="B338" s="1048"/>
      <c r="C338" s="958"/>
      <c r="D338" s="958"/>
      <c r="E338" s="958"/>
      <c r="F338" s="958"/>
      <c r="G338" s="958"/>
      <c r="H338" s="958"/>
      <c r="I338" s="958"/>
      <c r="J338" s="986" t="str">
        <f t="shared" si="143"/>
        <v>ICE Bio-methanol</v>
      </c>
      <c r="K338" s="1083">
        <f>K322-E322</f>
        <v>-43.378093782329529</v>
      </c>
      <c r="L338" s="1083">
        <f t="shared" ref="L338:O338" si="145">L322-F322</f>
        <v>-517.59154665528899</v>
      </c>
      <c r="M338" s="1083">
        <f t="shared" si="145"/>
        <v>-536.95588870578513</v>
      </c>
      <c r="N338" s="1083">
        <f t="shared" si="145"/>
        <v>-550.15688172967225</v>
      </c>
      <c r="O338" s="1084">
        <f t="shared" si="145"/>
        <v>-563.35787475355937</v>
      </c>
      <c r="P338" s="1144"/>
      <c r="Q338" s="958"/>
      <c r="R338" s="958"/>
      <c r="S338" s="958"/>
      <c r="T338" s="958"/>
      <c r="U338" s="958"/>
      <c r="V338" s="958"/>
      <c r="W338" s="958"/>
      <c r="X338" s="958"/>
      <c r="Y338" s="958"/>
      <c r="Z338" s="958"/>
      <c r="AA338" s="958"/>
      <c r="AB338" s="958"/>
      <c r="AC338" s="958"/>
      <c r="AD338" s="958"/>
      <c r="AE338" s="958"/>
      <c r="AF338" s="958"/>
      <c r="AG338" s="958"/>
      <c r="AH338" s="958"/>
      <c r="AI338" s="958"/>
      <c r="AJ338" s="958"/>
      <c r="AK338" s="958"/>
      <c r="AL338" s="958"/>
      <c r="AM338" s="958"/>
      <c r="AN338" s="958"/>
      <c r="AO338" s="1048"/>
    </row>
    <row r="339" spans="2:46" ht="15.75" x14ac:dyDescent="0.25">
      <c r="B339" s="1048"/>
      <c r="C339" s="958"/>
      <c r="D339" s="958"/>
      <c r="E339" s="958"/>
      <c r="F339" s="958"/>
      <c r="G339" s="958"/>
      <c r="H339" s="958"/>
      <c r="I339" s="958"/>
      <c r="J339" s="986" t="str">
        <f t="shared" si="143"/>
        <v>ICE hybrid vehicle Bio-methanol</v>
      </c>
      <c r="K339" s="1083">
        <f>K323-E323</f>
        <v>0</v>
      </c>
      <c r="L339" s="1083">
        <f t="shared" ref="L339:O341" si="146">L323-F323</f>
        <v>0</v>
      </c>
      <c r="M339" s="1083">
        <f t="shared" si="146"/>
        <v>0</v>
      </c>
      <c r="N339" s="1083">
        <f t="shared" si="146"/>
        <v>0</v>
      </c>
      <c r="O339" s="1084">
        <f t="shared" si="146"/>
        <v>0</v>
      </c>
      <c r="P339" s="1144"/>
      <c r="Q339" s="958"/>
      <c r="R339" s="958"/>
      <c r="S339" s="958"/>
      <c r="T339" s="958"/>
      <c r="U339" s="958"/>
      <c r="V339" s="958"/>
      <c r="W339" s="958"/>
      <c r="X339" s="958"/>
      <c r="Y339" s="958"/>
      <c r="Z339" s="958"/>
      <c r="AA339" s="958"/>
      <c r="AB339" s="958"/>
      <c r="AC339" s="958"/>
      <c r="AD339" s="958"/>
      <c r="AE339" s="958"/>
      <c r="AF339" s="958"/>
      <c r="AG339" s="958"/>
      <c r="AH339" s="958"/>
      <c r="AI339" s="958"/>
      <c r="AJ339" s="958"/>
      <c r="AK339" s="958"/>
      <c r="AL339" s="958"/>
      <c r="AM339" s="958"/>
      <c r="AN339" s="958"/>
      <c r="AO339" s="1048"/>
    </row>
    <row r="340" spans="2:46" ht="15.75" x14ac:dyDescent="0.25">
      <c r="B340" s="1048"/>
      <c r="C340" s="958"/>
      <c r="D340" s="958"/>
      <c r="E340" s="958"/>
      <c r="F340" s="958"/>
      <c r="G340" s="958"/>
      <c r="H340" s="958"/>
      <c r="I340" s="958"/>
      <c r="J340" s="986" t="str">
        <f t="shared" si="143"/>
        <v>ICE Diesel Hybrid</v>
      </c>
      <c r="K340" s="1083">
        <f>K324-E324</f>
        <v>0</v>
      </c>
      <c r="L340" s="1083">
        <f t="shared" si="146"/>
        <v>0</v>
      </c>
      <c r="M340" s="1083">
        <f t="shared" si="146"/>
        <v>0</v>
      </c>
      <c r="N340" s="1083">
        <f t="shared" si="146"/>
        <v>0</v>
      </c>
      <c r="O340" s="1084">
        <f t="shared" si="146"/>
        <v>0</v>
      </c>
      <c r="P340" s="1144"/>
      <c r="Q340" s="958"/>
      <c r="R340" s="958"/>
      <c r="S340" s="958"/>
      <c r="T340" s="958"/>
      <c r="U340" s="958"/>
      <c r="V340" s="958"/>
      <c r="W340" s="958"/>
      <c r="X340" s="958"/>
      <c r="Y340" s="958"/>
      <c r="Z340" s="958"/>
      <c r="AA340" s="958"/>
      <c r="AB340" s="958"/>
      <c r="AC340" s="958"/>
      <c r="AD340" s="958"/>
      <c r="AE340" s="958"/>
      <c r="AF340" s="958"/>
      <c r="AG340" s="958"/>
      <c r="AH340" s="958"/>
      <c r="AI340" s="958"/>
      <c r="AJ340" s="958"/>
      <c r="AK340" s="958"/>
      <c r="AL340" s="958"/>
      <c r="AM340" s="958"/>
      <c r="AN340" s="958"/>
      <c r="AO340" s="1048"/>
    </row>
    <row r="341" spans="2:46" ht="15.75" x14ac:dyDescent="0.25">
      <c r="B341" s="1048"/>
      <c r="C341" s="958"/>
      <c r="D341" s="958"/>
      <c r="E341" s="958"/>
      <c r="F341" s="958"/>
      <c r="G341" s="958"/>
      <c r="H341" s="958"/>
      <c r="I341" s="958"/>
      <c r="J341" s="986" t="s">
        <v>483</v>
      </c>
      <c r="K341" s="1083">
        <f>K325-E325</f>
        <v>0</v>
      </c>
      <c r="L341" s="1083">
        <f t="shared" si="146"/>
        <v>0</v>
      </c>
      <c r="M341" s="1083">
        <f t="shared" si="146"/>
        <v>0</v>
      </c>
      <c r="N341" s="1083">
        <f t="shared" si="146"/>
        <v>0</v>
      </c>
      <c r="O341" s="1084">
        <f t="shared" si="146"/>
        <v>0</v>
      </c>
      <c r="P341" s="1144"/>
      <c r="Q341" s="958"/>
      <c r="R341" s="958"/>
      <c r="S341" s="958"/>
      <c r="T341" s="958"/>
      <c r="U341" s="958"/>
      <c r="V341" s="958"/>
      <c r="W341" s="958"/>
      <c r="X341" s="958"/>
      <c r="Y341" s="958"/>
      <c r="Z341" s="958"/>
      <c r="AA341" s="958"/>
      <c r="AB341" s="958"/>
      <c r="AC341" s="958"/>
      <c r="AD341" s="958"/>
      <c r="AE341" s="958"/>
      <c r="AF341" s="958"/>
      <c r="AG341" s="958"/>
      <c r="AH341" s="958"/>
      <c r="AI341" s="958"/>
      <c r="AJ341" s="958"/>
      <c r="AK341" s="958"/>
      <c r="AL341" s="958"/>
      <c r="AM341" s="958"/>
      <c r="AN341" s="958"/>
      <c r="AO341" s="1048"/>
    </row>
    <row r="342" spans="2:46" ht="15.75" x14ac:dyDescent="0.25">
      <c r="B342" s="1048"/>
      <c r="C342" s="958"/>
      <c r="D342" s="958"/>
      <c r="E342" s="958"/>
      <c r="F342" s="958"/>
      <c r="G342" s="958"/>
      <c r="H342" s="958"/>
      <c r="I342" s="958"/>
      <c r="J342" s="986" t="str">
        <f>J278</f>
        <v>ICE Diesel</v>
      </c>
      <c r="K342" s="1083">
        <f>K326-E326</f>
        <v>-9803.1030929943772</v>
      </c>
      <c r="L342" s="1083">
        <f t="shared" ref="L342:O342" si="147">L326-F326</f>
        <v>-9634.7559654280503</v>
      </c>
      <c r="M342" s="1083">
        <f t="shared" si="147"/>
        <v>-9995.2153108196762</v>
      </c>
      <c r="N342" s="1083">
        <f t="shared" si="147"/>
        <v>-10240.946422752184</v>
      </c>
      <c r="O342" s="1084">
        <f t="shared" si="147"/>
        <v>-10486.677534684695</v>
      </c>
      <c r="P342" s="1144"/>
      <c r="Q342" s="958"/>
      <c r="R342" s="958"/>
      <c r="S342" s="958"/>
      <c r="T342" s="958"/>
      <c r="U342" s="958"/>
      <c r="V342" s="958"/>
      <c r="W342" s="958"/>
      <c r="X342" s="958"/>
      <c r="Y342" s="958"/>
      <c r="Z342" s="958"/>
      <c r="AA342" s="958"/>
      <c r="AB342" s="958"/>
      <c r="AC342" s="958"/>
      <c r="AD342" s="958"/>
      <c r="AE342" s="958"/>
      <c r="AF342" s="958"/>
      <c r="AG342" s="958"/>
      <c r="AH342" s="958"/>
      <c r="AI342" s="958"/>
      <c r="AJ342" s="958"/>
      <c r="AK342" s="958"/>
      <c r="AL342" s="958"/>
      <c r="AM342" s="958"/>
      <c r="AN342" s="958"/>
      <c r="AO342" s="1048"/>
    </row>
    <row r="343" spans="2:46" ht="15.75" x14ac:dyDescent="0.25">
      <c r="B343" s="1048"/>
      <c r="C343" s="958"/>
      <c r="D343" s="958"/>
      <c r="E343" s="958"/>
      <c r="F343" s="958"/>
      <c r="G343" s="958"/>
      <c r="H343" s="958"/>
      <c r="I343" s="958"/>
      <c r="J343" s="986" t="str">
        <f>J279</f>
        <v>ICE Syn-methanol</v>
      </c>
      <c r="K343" s="1083">
        <f>K327-E322</f>
        <v>-43.378093782329529</v>
      </c>
      <c r="L343" s="1083">
        <f>L327-F322</f>
        <v>-517.59154665528899</v>
      </c>
      <c r="M343" s="1083">
        <f>M327-G322</f>
        <v>-536.95588870578513</v>
      </c>
      <c r="N343" s="1083">
        <f>N327-H322</f>
        <v>-550.15688172967225</v>
      </c>
      <c r="O343" s="1084">
        <f>O327-I322</f>
        <v>-563.35787475355937</v>
      </c>
      <c r="P343" s="1144"/>
      <c r="Q343" s="958"/>
      <c r="R343" s="958"/>
      <c r="S343" s="958"/>
      <c r="T343" s="958"/>
      <c r="U343" s="958"/>
      <c r="V343" s="958"/>
      <c r="W343" s="958"/>
      <c r="X343" s="958"/>
      <c r="Y343" s="958"/>
      <c r="Z343" s="958"/>
      <c r="AA343" s="958"/>
      <c r="AB343" s="958"/>
      <c r="AC343" s="958"/>
      <c r="AD343" s="958"/>
      <c r="AE343" s="958"/>
      <c r="AF343" s="958"/>
      <c r="AG343" s="958"/>
      <c r="AH343" s="958"/>
      <c r="AI343" s="958"/>
      <c r="AJ343" s="958"/>
      <c r="AK343" s="958"/>
      <c r="AL343" s="958"/>
      <c r="AM343" s="958"/>
      <c r="AN343" s="958"/>
      <c r="AO343" s="1048"/>
    </row>
    <row r="344" spans="2:46" ht="15.75" x14ac:dyDescent="0.25">
      <c r="B344" s="1048"/>
      <c r="C344" s="958"/>
      <c r="D344" s="958"/>
      <c r="E344" s="958"/>
      <c r="F344" s="958"/>
      <c r="G344" s="958"/>
      <c r="H344" s="958"/>
      <c r="I344" s="958"/>
      <c r="J344" s="986" t="str">
        <f>J280</f>
        <v>ICE Hybrid Syn-methanol</v>
      </c>
      <c r="K344" s="1083">
        <f t="shared" ref="K344:O345" si="148">K328-E328</f>
        <v>0</v>
      </c>
      <c r="L344" s="1083">
        <f t="shared" si="148"/>
        <v>0</v>
      </c>
      <c r="M344" s="1083">
        <f t="shared" si="148"/>
        <v>0</v>
      </c>
      <c r="N344" s="1083">
        <f t="shared" si="148"/>
        <v>0</v>
      </c>
      <c r="O344" s="1084">
        <f t="shared" si="148"/>
        <v>0</v>
      </c>
      <c r="P344" s="1144"/>
      <c r="Q344" s="1144"/>
      <c r="R344" s="1142"/>
      <c r="S344" s="958"/>
      <c r="T344" s="958"/>
      <c r="U344" s="958"/>
      <c r="V344" s="958"/>
      <c r="W344" s="958"/>
      <c r="X344" s="958"/>
      <c r="Y344" s="958"/>
      <c r="Z344" s="958"/>
      <c r="AA344" s="958"/>
      <c r="AB344" s="958"/>
      <c r="AC344" s="958"/>
      <c r="AD344" s="958"/>
      <c r="AE344" s="958"/>
      <c r="AF344" s="958"/>
      <c r="AG344" s="958"/>
      <c r="AH344" s="958"/>
      <c r="AI344" s="958"/>
      <c r="AJ344" s="958"/>
      <c r="AK344" s="958"/>
      <c r="AL344" s="958"/>
      <c r="AM344" s="958"/>
      <c r="AN344" s="958"/>
      <c r="AO344" s="1048"/>
    </row>
    <row r="345" spans="2:46" ht="16.5" thickBot="1" x14ac:dyDescent="0.3">
      <c r="B345" s="1048"/>
      <c r="C345" s="958"/>
      <c r="D345" s="958"/>
      <c r="E345" s="958"/>
      <c r="F345" s="958"/>
      <c r="G345" s="958"/>
      <c r="H345" s="958"/>
      <c r="I345" s="958"/>
      <c r="J345" s="994" t="str">
        <f>J281</f>
        <v>No shift in technology</v>
      </c>
      <c r="K345" s="1091">
        <f t="shared" si="148"/>
        <v>9846.4811867767112</v>
      </c>
      <c r="L345" s="1091">
        <f t="shared" si="148"/>
        <v>10152.347512083337</v>
      </c>
      <c r="M345" s="1091">
        <f t="shared" si="148"/>
        <v>10532.171199525461</v>
      </c>
      <c r="N345" s="1091">
        <f t="shared" si="148"/>
        <v>10791.103304481858</v>
      </c>
      <c r="O345" s="1092">
        <f t="shared" si="148"/>
        <v>11050.035409438253</v>
      </c>
      <c r="P345" s="1144"/>
      <c r="Q345" s="1144"/>
      <c r="R345" s="1142"/>
      <c r="S345" s="958"/>
      <c r="T345" s="958"/>
      <c r="U345" s="958"/>
      <c r="V345" s="958"/>
      <c r="W345" s="958"/>
      <c r="X345" s="958"/>
      <c r="Y345" s="958"/>
      <c r="Z345" s="958"/>
      <c r="AA345" s="958"/>
      <c r="AB345" s="958"/>
      <c r="AC345" s="958"/>
      <c r="AD345" s="958"/>
      <c r="AE345" s="958"/>
      <c r="AF345" s="958"/>
      <c r="AG345" s="958"/>
      <c r="AH345" s="958"/>
      <c r="AI345" s="958"/>
      <c r="AJ345" s="958"/>
      <c r="AK345" s="958"/>
      <c r="AL345" s="958"/>
      <c r="AM345" s="958"/>
      <c r="AN345" s="958"/>
      <c r="AO345" s="1048"/>
    </row>
    <row r="346" spans="2:46" ht="17.25" thickTop="1" thickBot="1" x14ac:dyDescent="0.3">
      <c r="B346" s="1048"/>
      <c r="C346" s="958"/>
      <c r="D346" s="958"/>
      <c r="E346" s="958"/>
      <c r="F346" s="958"/>
      <c r="G346" s="958"/>
      <c r="H346" s="958"/>
      <c r="I346" s="958"/>
      <c r="J346" s="996" t="s">
        <v>60</v>
      </c>
      <c r="K346" s="1087">
        <f>SUM(K335:K345)</f>
        <v>-43.378093782326687</v>
      </c>
      <c r="L346" s="1087">
        <f>SUM(L335:L345)</f>
        <v>-517.59154665529059</v>
      </c>
      <c r="M346" s="1087">
        <f>SUM(M335:M345)</f>
        <v>-536.95588870578467</v>
      </c>
      <c r="N346" s="1087">
        <f>SUM(N335:N345)</f>
        <v>-550.1568817296702</v>
      </c>
      <c r="O346" s="1088">
        <f>SUM(O335:O345)</f>
        <v>-563.35787475356119</v>
      </c>
      <c r="P346" s="1144"/>
      <c r="Q346" s="1144"/>
      <c r="R346" s="1142"/>
      <c r="S346" s="958"/>
      <c r="T346" s="958"/>
      <c r="U346" s="958"/>
      <c r="V346" s="958"/>
      <c r="W346" s="958"/>
      <c r="X346" s="958"/>
      <c r="Y346" s="958"/>
      <c r="Z346" s="958"/>
      <c r="AA346" s="958"/>
      <c r="AB346" s="958"/>
      <c r="AC346" s="958"/>
      <c r="AD346" s="958"/>
      <c r="AE346" s="958"/>
      <c r="AF346" s="958"/>
      <c r="AG346" s="958"/>
      <c r="AH346" s="958"/>
      <c r="AI346" s="958"/>
      <c r="AJ346" s="958"/>
      <c r="AK346" s="958"/>
      <c r="AL346" s="958"/>
      <c r="AM346" s="958"/>
      <c r="AN346" s="958"/>
      <c r="AO346" s="1048"/>
    </row>
    <row r="347" spans="2:46" x14ac:dyDescent="0.25">
      <c r="B347" s="1048"/>
      <c r="C347" s="958"/>
      <c r="D347" s="958"/>
      <c r="E347" s="958"/>
      <c r="F347" s="958"/>
      <c r="G347" s="958"/>
      <c r="H347" s="958"/>
      <c r="I347" s="958"/>
      <c r="J347" s="958"/>
      <c r="K347" s="958"/>
      <c r="L347" s="958"/>
      <c r="M347" s="958"/>
      <c r="N347" s="958"/>
      <c r="O347" s="958"/>
      <c r="P347" s="958"/>
      <c r="Q347" s="958"/>
      <c r="R347" s="958"/>
      <c r="S347" s="958"/>
      <c r="T347" s="958"/>
      <c r="U347" s="958"/>
      <c r="V347" s="958"/>
      <c r="W347" s="958"/>
      <c r="X347" s="958"/>
      <c r="Y347" s="958"/>
      <c r="Z347" s="958"/>
      <c r="AA347" s="958"/>
      <c r="AB347" s="958"/>
      <c r="AC347" s="958"/>
      <c r="AD347" s="958"/>
      <c r="AE347" s="958"/>
      <c r="AF347" s="958"/>
      <c r="AG347" s="958"/>
      <c r="AH347" s="958"/>
      <c r="AI347" s="958"/>
      <c r="AJ347" s="958"/>
      <c r="AK347" s="958"/>
      <c r="AL347" s="958"/>
      <c r="AM347" s="958"/>
      <c r="AN347" s="958"/>
      <c r="AO347" s="1048"/>
    </row>
    <row r="348" spans="2:46" x14ac:dyDescent="0.25">
      <c r="B348" s="1048"/>
      <c r="C348" s="958"/>
      <c r="D348" s="958"/>
      <c r="E348" s="958"/>
      <c r="F348" s="958"/>
      <c r="G348" s="958"/>
      <c r="H348" s="958"/>
      <c r="I348" s="958"/>
      <c r="J348" s="958"/>
      <c r="K348" s="958"/>
      <c r="L348" s="958"/>
      <c r="M348" s="958"/>
      <c r="N348" s="958"/>
      <c r="O348" s="958"/>
      <c r="P348" s="958"/>
      <c r="Q348" s="958"/>
      <c r="R348" s="958"/>
      <c r="S348" s="958"/>
      <c r="T348" s="958"/>
      <c r="U348" s="958"/>
      <c r="V348" s="958"/>
      <c r="W348" s="958"/>
      <c r="X348" s="958"/>
      <c r="Y348" s="958"/>
      <c r="Z348" s="958"/>
      <c r="AA348" s="958"/>
      <c r="AB348" s="958"/>
      <c r="AC348" s="958"/>
      <c r="AD348" s="958"/>
      <c r="AE348" s="958"/>
      <c r="AF348" s="958"/>
      <c r="AG348" s="958"/>
      <c r="AH348" s="958"/>
      <c r="AI348" s="958"/>
      <c r="AJ348" s="958"/>
      <c r="AK348" s="958"/>
      <c r="AL348" s="958"/>
      <c r="AM348" s="958"/>
      <c r="AN348" s="958"/>
      <c r="AO348" s="1048"/>
      <c r="AQ348" s="513"/>
      <c r="AR348" s="513"/>
      <c r="AS348" s="513"/>
      <c r="AT348" s="513"/>
    </row>
    <row r="349" spans="2:46" x14ac:dyDescent="0.25">
      <c r="B349" s="1048"/>
      <c r="C349" s="958"/>
      <c r="D349" s="958"/>
      <c r="E349" s="958"/>
      <c r="F349" s="958"/>
      <c r="G349" s="958"/>
      <c r="H349" s="958"/>
      <c r="I349" s="958"/>
      <c r="J349" s="958"/>
      <c r="K349" s="958"/>
      <c r="L349" s="958"/>
      <c r="M349" s="958"/>
      <c r="N349" s="958"/>
      <c r="O349" s="958"/>
      <c r="P349" s="958"/>
      <c r="Q349" s="958"/>
      <c r="R349" s="958"/>
      <c r="S349" s="958"/>
      <c r="T349" s="958"/>
      <c r="U349" s="958"/>
      <c r="V349" s="958"/>
      <c r="W349" s="958"/>
      <c r="X349" s="958"/>
      <c r="Y349" s="958"/>
      <c r="Z349" s="958"/>
      <c r="AA349" s="958"/>
      <c r="AB349" s="958"/>
      <c r="AC349" s="958"/>
      <c r="AD349" s="958"/>
      <c r="AE349" s="958"/>
      <c r="AF349" s="958"/>
      <c r="AG349" s="958"/>
      <c r="AH349" s="958"/>
      <c r="AI349" s="958"/>
      <c r="AJ349" s="958"/>
      <c r="AK349" s="958"/>
      <c r="AL349" s="958"/>
      <c r="AM349" s="958"/>
      <c r="AN349" s="958"/>
      <c r="AO349" s="1048"/>
      <c r="AQ349" s="513"/>
      <c r="AR349" s="513"/>
      <c r="AS349" s="513"/>
      <c r="AT349" s="513"/>
    </row>
    <row r="350" spans="2:46" ht="15.75" thickBot="1" x14ac:dyDescent="0.3">
      <c r="B350" s="1048"/>
      <c r="C350" s="958"/>
      <c r="D350" s="958"/>
      <c r="E350" s="958"/>
      <c r="F350" s="958"/>
      <c r="G350" s="958"/>
      <c r="H350" s="958"/>
      <c r="I350" s="958"/>
      <c r="J350" s="958"/>
      <c r="K350" s="958"/>
      <c r="L350" s="958"/>
      <c r="M350" s="958"/>
      <c r="N350" s="958"/>
      <c r="O350" s="958"/>
      <c r="P350" s="958"/>
      <c r="Q350" s="958"/>
      <c r="R350" s="958"/>
      <c r="S350" s="958"/>
      <c r="T350" s="958"/>
      <c r="U350" s="958"/>
      <c r="V350" s="958"/>
      <c r="W350" s="958"/>
      <c r="X350" s="958"/>
      <c r="Y350" s="958"/>
      <c r="Z350" s="958"/>
      <c r="AA350" s="958"/>
      <c r="AB350" s="958"/>
      <c r="AC350" s="958"/>
      <c r="AD350" s="958"/>
      <c r="AE350" s="958"/>
      <c r="AF350" s="958"/>
      <c r="AG350" s="958"/>
      <c r="AH350" s="958"/>
      <c r="AI350" s="958"/>
      <c r="AJ350" s="958"/>
      <c r="AK350" s="958"/>
      <c r="AL350" s="958"/>
      <c r="AM350" s="958"/>
      <c r="AN350" s="958"/>
      <c r="AO350" s="1048"/>
      <c r="AQ350" s="513"/>
      <c r="AR350" s="513"/>
      <c r="AS350" s="513"/>
      <c r="AT350" s="513"/>
    </row>
    <row r="351" spans="2:46" ht="21.75" thickBot="1" x14ac:dyDescent="0.3">
      <c r="B351" s="1056"/>
      <c r="C351" s="2013" t="s">
        <v>144</v>
      </c>
      <c r="D351" s="2013"/>
      <c r="E351" s="2013"/>
      <c r="F351" s="2013"/>
      <c r="G351" s="2013"/>
      <c r="H351" s="2013"/>
      <c r="I351" s="2013"/>
      <c r="J351" s="2013"/>
      <c r="K351" s="2013"/>
      <c r="L351" s="2013"/>
      <c r="M351" s="2013"/>
      <c r="N351" s="2013"/>
      <c r="O351" s="2013"/>
      <c r="P351" s="2013"/>
      <c r="Q351" s="2013"/>
      <c r="R351" s="2013"/>
      <c r="S351" s="2013"/>
      <c r="T351" s="2013"/>
      <c r="U351" s="2013"/>
      <c r="V351" s="2013"/>
      <c r="W351" s="2013"/>
      <c r="X351" s="2013"/>
      <c r="Y351" s="2013"/>
      <c r="Z351" s="2013"/>
      <c r="AA351" s="2013"/>
      <c r="AB351" s="2013"/>
      <c r="AC351" s="2013"/>
      <c r="AD351" s="2013"/>
      <c r="AE351" s="2013"/>
      <c r="AF351" s="2013"/>
      <c r="AG351" s="2013"/>
      <c r="AH351" s="2013"/>
      <c r="AI351" s="2013"/>
      <c r="AJ351" s="2013"/>
      <c r="AK351" s="2013"/>
      <c r="AL351" s="2013"/>
      <c r="AM351" s="2013"/>
      <c r="AN351" s="2013"/>
      <c r="AO351" s="1057"/>
      <c r="AQ351" s="513"/>
      <c r="AR351" s="513"/>
      <c r="AS351" s="513"/>
      <c r="AT351" s="513"/>
    </row>
    <row r="352" spans="2:46" x14ac:dyDescent="0.25">
      <c r="AQ352" s="513"/>
      <c r="AR352" s="513"/>
      <c r="AS352" s="513"/>
      <c r="AT352" s="513"/>
    </row>
    <row r="353" spans="43:46" x14ac:dyDescent="0.25">
      <c r="AQ353" s="513"/>
      <c r="AR353" s="513"/>
      <c r="AS353" s="513"/>
      <c r="AT353" s="513"/>
    </row>
    <row r="354" spans="43:46" x14ac:dyDescent="0.25">
      <c r="AQ354" s="513"/>
      <c r="AR354" s="513"/>
      <c r="AS354" s="513"/>
      <c r="AT354" s="513"/>
    </row>
    <row r="355" spans="43:46" x14ac:dyDescent="0.25">
      <c r="AQ355" s="513"/>
      <c r="AR355" s="513"/>
      <c r="AS355" s="513"/>
      <c r="AT355" s="513"/>
    </row>
    <row r="356" spans="43:46" x14ac:dyDescent="0.25">
      <c r="AQ356" s="513"/>
      <c r="AR356" s="513"/>
      <c r="AS356" s="513"/>
      <c r="AT356" s="513"/>
    </row>
    <row r="357" spans="43:46" x14ac:dyDescent="0.25">
      <c r="AQ357" s="513"/>
      <c r="AR357" s="513"/>
      <c r="AS357" s="513"/>
      <c r="AT357" s="513"/>
    </row>
    <row r="358" spans="43:46" x14ac:dyDescent="0.25">
      <c r="AQ358" s="513"/>
      <c r="AR358" s="513"/>
      <c r="AS358" s="513"/>
      <c r="AT358" s="513"/>
    </row>
    <row r="359" spans="43:46" x14ac:dyDescent="0.25">
      <c r="AQ359" s="513"/>
      <c r="AR359" s="513"/>
      <c r="AS359" s="513"/>
      <c r="AT359" s="513"/>
    </row>
    <row r="360" spans="43:46" x14ac:dyDescent="0.25">
      <c r="AQ360" s="513"/>
      <c r="AR360" s="513"/>
      <c r="AS360" s="513"/>
      <c r="AT360" s="513"/>
    </row>
  </sheetData>
  <sheetProtection algorithmName="SHA-512" hashValue="63eSZYTeKEU8Jdogc7IOMdOsiq576Qw7uSD3HU36CaZrvqoywr8rOXAt8nhdz30B/i1fVxe/+ILPfaahuyYAiQ==" saltValue="lNFxbareORLWvIn8p6ZrfA==" spinCount="100000" sheet="1" objects="1" scenarios="1" selectLockedCells="1" selectUnlockedCells="1"/>
  <mergeCells count="65">
    <mergeCell ref="P70:U70"/>
    <mergeCell ref="D114:I114"/>
    <mergeCell ref="J114:O114"/>
    <mergeCell ref="J136:O136"/>
    <mergeCell ref="D181:I181"/>
    <mergeCell ref="J181:O181"/>
    <mergeCell ref="P92:U92"/>
    <mergeCell ref="J45:O45"/>
    <mergeCell ref="D48:I48"/>
    <mergeCell ref="J48:O48"/>
    <mergeCell ref="D70:I70"/>
    <mergeCell ref="J70:O70"/>
    <mergeCell ref="P244:R247"/>
    <mergeCell ref="P136:R138"/>
    <mergeCell ref="D184:I184"/>
    <mergeCell ref="J184:O184"/>
    <mergeCell ref="J158:O158"/>
    <mergeCell ref="C351:AN351"/>
    <mergeCell ref="D268:I268"/>
    <mergeCell ref="J268:O268"/>
    <mergeCell ref="D285:I285"/>
    <mergeCell ref="J285:O285"/>
    <mergeCell ref="P285:U285"/>
    <mergeCell ref="V285:AA285"/>
    <mergeCell ref="P301:U301"/>
    <mergeCell ref="V301:AA301"/>
    <mergeCell ref="D301:I301"/>
    <mergeCell ref="P333:R335"/>
    <mergeCell ref="D317:I317"/>
    <mergeCell ref="J317:O317"/>
    <mergeCell ref="AB285:AG285"/>
    <mergeCell ref="AH285:AM285"/>
    <mergeCell ref="J333:O333"/>
    <mergeCell ref="D12:H12"/>
    <mergeCell ref="D25:H25"/>
    <mergeCell ref="V214:AA214"/>
    <mergeCell ref="V199:AA199"/>
    <mergeCell ref="AB199:AG199"/>
    <mergeCell ref="P199:U199"/>
    <mergeCell ref="D199:I199"/>
    <mergeCell ref="J199:O199"/>
    <mergeCell ref="D214:I214"/>
    <mergeCell ref="J214:O214"/>
    <mergeCell ref="P214:U214"/>
    <mergeCell ref="V70:AA70"/>
    <mergeCell ref="V92:AA92"/>
    <mergeCell ref="D92:I92"/>
    <mergeCell ref="J92:O92"/>
    <mergeCell ref="D45:I45"/>
    <mergeCell ref="D9:H10"/>
    <mergeCell ref="C3:I3"/>
    <mergeCell ref="J301:O301"/>
    <mergeCell ref="D43:AM43"/>
    <mergeCell ref="D176:AM176"/>
    <mergeCell ref="C179:AN179"/>
    <mergeCell ref="C261:AN261"/>
    <mergeCell ref="C264:AN264"/>
    <mergeCell ref="D266:I266"/>
    <mergeCell ref="J266:O266"/>
    <mergeCell ref="AH199:AM199"/>
    <mergeCell ref="J244:O244"/>
    <mergeCell ref="D229:I229"/>
    <mergeCell ref="J229:O229"/>
    <mergeCell ref="AB70:AG70"/>
    <mergeCell ref="AH70:AM70"/>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L64"/>
  <sheetViews>
    <sheetView topLeftCell="AB1" zoomScale="85" zoomScaleNormal="85" workbookViewId="0">
      <selection activeCell="AB1" sqref="AB1"/>
    </sheetView>
  </sheetViews>
  <sheetFormatPr defaultRowHeight="15" x14ac:dyDescent="0.25"/>
  <cols>
    <col min="1" max="1" width="8.7109375" style="1163" customWidth="1"/>
    <col min="2" max="2" width="2.5703125" style="1163" customWidth="1"/>
    <col min="3" max="3" width="8.7109375" style="1163" customWidth="1"/>
    <col min="4" max="4" width="50.85546875" style="1163" bestFit="1" customWidth="1"/>
    <col min="5" max="9" width="8.42578125" style="1163" bestFit="1" customWidth="1"/>
    <col min="10" max="10" width="2.7109375" style="1163" customWidth="1"/>
    <col min="11" max="11" width="26.85546875" style="1163" bestFit="1" customWidth="1"/>
    <col min="12" max="12" width="18.140625" style="1163" bestFit="1" customWidth="1"/>
    <col min="13" max="13" width="8.42578125" style="1163" bestFit="1" customWidth="1"/>
    <col min="14" max="14" width="10.5703125" style="1163" bestFit="1" customWidth="1"/>
    <col min="15" max="15" width="10.85546875" style="1163" bestFit="1" customWidth="1"/>
    <col min="16" max="16" width="11.85546875" style="1163" bestFit="1" customWidth="1"/>
    <col min="17" max="17" width="12.140625" style="1163" bestFit="1" customWidth="1"/>
    <col min="18" max="18" width="2.7109375" style="1163" customWidth="1"/>
    <col min="19" max="19" width="45.5703125" style="1163" bestFit="1" customWidth="1"/>
    <col min="20" max="21" width="7.42578125" style="1163" bestFit="1" customWidth="1"/>
    <col min="22" max="22" width="8" style="1163" customWidth="1"/>
    <col min="23" max="23" width="7.7109375" style="1163" customWidth="1"/>
    <col min="24" max="24" width="7.7109375" style="1163" bestFit="1" customWidth="1"/>
    <col min="25" max="25" width="9.140625" style="1163"/>
    <col min="26" max="26" width="2.28515625" style="1163" customWidth="1"/>
    <col min="27" max="27" width="9.140625" style="1163"/>
    <col min="28" max="28" width="2.85546875" style="1163" customWidth="1"/>
    <col min="29" max="29" width="9.140625" style="1163"/>
    <col min="30" max="30" width="35.140625" style="1163" bestFit="1" customWidth="1"/>
    <col min="31" max="32" width="9" style="1163" bestFit="1" customWidth="1"/>
    <col min="33" max="33" width="8.7109375" style="1163" bestFit="1" customWidth="1"/>
    <col min="34" max="34" width="9.42578125" style="1163" bestFit="1" customWidth="1"/>
    <col min="35" max="35" width="12.5703125" style="1163" bestFit="1" customWidth="1"/>
    <col min="36" max="36" width="9.140625" style="1163"/>
    <col min="37" max="37" width="3.42578125" style="1163" customWidth="1"/>
    <col min="38" max="38" width="27.85546875" style="1163" bestFit="1" customWidth="1"/>
    <col min="39" max="16384" width="9.140625" style="1163"/>
  </cols>
  <sheetData>
    <row r="2" spans="2:38" ht="15.75" thickBot="1" x14ac:dyDescent="0.3"/>
    <row r="3" spans="2:38" ht="15.75" thickBot="1" x14ac:dyDescent="0.3">
      <c r="B3" s="1273"/>
      <c r="C3" s="1565" t="s">
        <v>472</v>
      </c>
      <c r="D3" s="1565"/>
      <c r="E3" s="1565"/>
      <c r="F3" s="1565"/>
      <c r="G3" s="1565"/>
      <c r="H3" s="1565"/>
      <c r="I3" s="1565"/>
      <c r="J3" s="1565"/>
      <c r="K3" s="1565"/>
      <c r="L3" s="1565"/>
      <c r="M3" s="1565"/>
      <c r="N3" s="1565"/>
      <c r="O3" s="1565"/>
      <c r="P3" s="1565"/>
      <c r="Q3" s="1565"/>
      <c r="R3" s="1565"/>
      <c r="S3" s="1565"/>
      <c r="T3" s="1565"/>
      <c r="U3" s="1565"/>
      <c r="V3" s="1565" t="s">
        <v>472</v>
      </c>
      <c r="W3" s="1565"/>
      <c r="X3" s="1565"/>
      <c r="Y3" s="1565"/>
      <c r="Z3" s="1276"/>
      <c r="AA3" s="1170"/>
      <c r="AB3" s="1171"/>
      <c r="AC3" s="1566" t="s">
        <v>471</v>
      </c>
      <c r="AD3" s="1566"/>
      <c r="AE3" s="1566"/>
      <c r="AF3" s="1566"/>
      <c r="AG3" s="1566"/>
      <c r="AH3" s="1566"/>
      <c r="AI3" s="1566" t="s">
        <v>471</v>
      </c>
      <c r="AJ3" s="1566"/>
      <c r="AK3" s="1172"/>
    </row>
    <row r="4" spans="2:38" ht="16.5" customHeight="1" thickBot="1" x14ac:dyDescent="0.3">
      <c r="B4" s="1274"/>
      <c r="C4" s="1284"/>
      <c r="D4" s="1285"/>
      <c r="E4" s="1285"/>
      <c r="F4" s="1285"/>
      <c r="G4" s="1285"/>
      <c r="H4" s="1285"/>
      <c r="I4" s="1285"/>
      <c r="J4" s="1285"/>
      <c r="K4" s="1285"/>
      <c r="L4" s="1285"/>
      <c r="M4" s="1285"/>
      <c r="N4" s="1285"/>
      <c r="O4" s="1285"/>
      <c r="P4" s="1285"/>
      <c r="Q4" s="1285"/>
      <c r="R4" s="1285"/>
      <c r="S4" s="1285"/>
      <c r="T4" s="1285"/>
      <c r="U4" s="1285"/>
      <c r="V4" s="1285"/>
      <c r="W4" s="1285"/>
      <c r="X4" s="1285"/>
      <c r="Y4" s="1283"/>
      <c r="Z4" s="1277"/>
      <c r="AA4" s="1170"/>
      <c r="AB4" s="1178"/>
      <c r="AC4" s="1179"/>
      <c r="AD4" s="1180"/>
      <c r="AE4" s="1179"/>
      <c r="AF4" s="1179"/>
      <c r="AG4" s="1179"/>
      <c r="AH4" s="1179"/>
      <c r="AI4" s="1179"/>
      <c r="AJ4" s="1179"/>
      <c r="AK4" s="1178"/>
    </row>
    <row r="5" spans="2:38" ht="15.75" thickBot="1" x14ac:dyDescent="0.3">
      <c r="B5" s="1274"/>
      <c r="C5" s="1286"/>
      <c r="D5" s="1279"/>
      <c r="E5" s="1279"/>
      <c r="F5" s="1279"/>
      <c r="G5" s="1279"/>
      <c r="H5" s="1279"/>
      <c r="I5" s="1279"/>
      <c r="J5" s="1279"/>
      <c r="K5" s="1279"/>
      <c r="L5" s="1279"/>
      <c r="M5" s="1279"/>
      <c r="N5" s="1279"/>
      <c r="O5" s="1279"/>
      <c r="P5" s="1279"/>
      <c r="Q5" s="1279"/>
      <c r="R5" s="1279"/>
      <c r="S5" s="1279"/>
      <c r="T5" s="1279"/>
      <c r="U5" s="1279"/>
      <c r="V5" s="1279"/>
      <c r="W5" s="1279"/>
      <c r="X5" s="1279"/>
      <c r="Y5" s="1280"/>
      <c r="Z5" s="1277"/>
      <c r="AA5" s="1170"/>
      <c r="AB5" s="1178"/>
      <c r="AC5" s="1179"/>
      <c r="AD5" s="1189" t="s">
        <v>187</v>
      </c>
      <c r="AE5" s="1190">
        <v>0.03</v>
      </c>
      <c r="AF5" s="1179"/>
      <c r="AG5" s="1179"/>
      <c r="AH5" s="1179"/>
      <c r="AI5" s="1179"/>
      <c r="AJ5" s="1180"/>
      <c r="AK5" s="1178"/>
      <c r="AL5" s="1170"/>
    </row>
    <row r="6" spans="2:38" ht="15.75" thickBot="1" x14ac:dyDescent="0.3">
      <c r="B6" s="1274"/>
      <c r="C6" s="1286"/>
      <c r="D6" s="1164" t="str">
        <f>Results!B4</f>
        <v>Energy consumption/fuel</v>
      </c>
      <c r="E6" s="1165">
        <f>Results!C4</f>
        <v>2010</v>
      </c>
      <c r="F6" s="1165">
        <f>Results!D4</f>
        <v>2020</v>
      </c>
      <c r="G6" s="1165">
        <f>Results!E4</f>
        <v>2030</v>
      </c>
      <c r="H6" s="1165">
        <f>Results!F4</f>
        <v>2040</v>
      </c>
      <c r="I6" s="1166">
        <f>Results!G4</f>
        <v>2050</v>
      </c>
      <c r="J6" s="1279"/>
      <c r="K6" s="1167" t="s">
        <v>245</v>
      </c>
      <c r="L6" s="1609"/>
      <c r="M6" s="1610">
        <f>E6</f>
        <v>2010</v>
      </c>
      <c r="N6" s="1168">
        <f t="shared" ref="N6:Q6" si="0">F6</f>
        <v>2020</v>
      </c>
      <c r="O6" s="1168">
        <f t="shared" si="0"/>
        <v>2030</v>
      </c>
      <c r="P6" s="1168">
        <f t="shared" si="0"/>
        <v>2040</v>
      </c>
      <c r="Q6" s="1169">
        <f t="shared" si="0"/>
        <v>2050</v>
      </c>
      <c r="R6" s="1279"/>
      <c r="S6" s="2039" t="s">
        <v>463</v>
      </c>
      <c r="T6" s="2040"/>
      <c r="U6" s="2040"/>
      <c r="V6" s="2040"/>
      <c r="W6" s="2040"/>
      <c r="X6" s="2041"/>
      <c r="Y6" s="1280"/>
      <c r="Z6" s="1277"/>
      <c r="AA6" s="1170"/>
      <c r="AB6" s="1178"/>
      <c r="AC6" s="1179"/>
      <c r="AD6" s="1180"/>
      <c r="AE6" s="1179"/>
      <c r="AF6" s="1179"/>
      <c r="AG6" s="1179"/>
      <c r="AH6" s="1179"/>
      <c r="AI6" s="1179"/>
      <c r="AJ6" s="1196"/>
      <c r="AK6" s="1197"/>
      <c r="AL6" s="62"/>
    </row>
    <row r="7" spans="2:38" ht="15.75" thickBot="1" x14ac:dyDescent="0.3">
      <c r="B7" s="1274"/>
      <c r="C7" s="1286"/>
      <c r="D7" s="1173" t="str">
        <f>Results!B5</f>
        <v>All transport</v>
      </c>
      <c r="E7" s="1174" t="s">
        <v>203</v>
      </c>
      <c r="F7" s="1174" t="s">
        <v>203</v>
      </c>
      <c r="G7" s="1174" t="s">
        <v>203</v>
      </c>
      <c r="H7" s="1174" t="s">
        <v>203</v>
      </c>
      <c r="I7" s="1175" t="s">
        <v>203</v>
      </c>
      <c r="J7" s="1279"/>
      <c r="K7" s="1176" t="s">
        <v>238</v>
      </c>
      <c r="L7" s="1177" t="s">
        <v>251</v>
      </c>
      <c r="M7" s="1611">
        <f>'Vehicle Costs'!K50</f>
        <v>0</v>
      </c>
      <c r="N7" s="989">
        <f>'Vehicle Costs'!L50</f>
        <v>0</v>
      </c>
      <c r="O7" s="989">
        <f>'Vehicle Costs'!M50</f>
        <v>0</v>
      </c>
      <c r="P7" s="989">
        <f>'Vehicle Costs'!N50</f>
        <v>0</v>
      </c>
      <c r="Q7" s="990">
        <f>'Vehicle Costs'!O50</f>
        <v>0</v>
      </c>
      <c r="R7" s="1279"/>
      <c r="S7" s="1167" t="s">
        <v>454</v>
      </c>
      <c r="T7" s="1596">
        <v>2010</v>
      </c>
      <c r="U7" s="1168">
        <v>2020</v>
      </c>
      <c r="V7" s="1168">
        <v>2030</v>
      </c>
      <c r="W7" s="1168">
        <v>2040</v>
      </c>
      <c r="X7" s="1169">
        <v>2050</v>
      </c>
      <c r="Y7" s="1280"/>
      <c r="Z7" s="1277"/>
      <c r="AA7" s="1170"/>
      <c r="AB7" s="1178"/>
      <c r="AC7" s="1179"/>
      <c r="AD7" s="1179"/>
      <c r="AE7" s="1179"/>
      <c r="AF7" s="1179"/>
      <c r="AG7" s="1179"/>
      <c r="AH7" s="1179"/>
      <c r="AI7" s="1179"/>
      <c r="AJ7" s="1196"/>
      <c r="AK7" s="1197"/>
      <c r="AL7" s="62"/>
    </row>
    <row r="8" spans="2:38" ht="15.75" thickBot="1" x14ac:dyDescent="0.3">
      <c r="B8" s="1274"/>
      <c r="C8" s="1286"/>
      <c r="D8" s="1181" t="str">
        <f>Results!B6</f>
        <v>Petrol</v>
      </c>
      <c r="E8" s="1265">
        <f>Results!C6/3.6</f>
        <v>19.668468252966818</v>
      </c>
      <c r="F8" s="1265">
        <f>Results!D6/3.6</f>
        <v>17.107790944336152</v>
      </c>
      <c r="G8" s="1265">
        <f>Results!E6/3.6</f>
        <v>15.927183026070351</v>
      </c>
      <c r="H8" s="1265">
        <f>Results!F6/3.6</f>
        <v>13.618991430957504</v>
      </c>
      <c r="I8" s="1266">
        <f>Results!G6/3.6</f>
        <v>11.310799835844657</v>
      </c>
      <c r="J8" s="1287"/>
      <c r="K8" s="1182" t="s">
        <v>240</v>
      </c>
      <c r="L8" s="502" t="s">
        <v>204</v>
      </c>
      <c r="M8" s="1598">
        <f>M7*$K$30/1000</f>
        <v>0</v>
      </c>
      <c r="N8" s="1183">
        <f>N7*$K$30/1000</f>
        <v>0</v>
      </c>
      <c r="O8" s="1183">
        <f>O7*$K$30/1000</f>
        <v>0</v>
      </c>
      <c r="P8" s="1183">
        <f>P7*$K$30/1000</f>
        <v>0</v>
      </c>
      <c r="Q8" s="1184">
        <f>Q7*$K$30/1000</f>
        <v>0</v>
      </c>
      <c r="R8" s="1287"/>
      <c r="S8" s="1187" t="s">
        <v>453</v>
      </c>
      <c r="T8" s="61">
        <f>E21</f>
        <v>0</v>
      </c>
      <c r="U8" s="61">
        <f>F21</f>
        <v>0</v>
      </c>
      <c r="V8" s="61">
        <f>G21</f>
        <v>0</v>
      </c>
      <c r="W8" s="61">
        <f>H21</f>
        <v>0</v>
      </c>
      <c r="X8" s="1188">
        <f>I21</f>
        <v>0</v>
      </c>
      <c r="Y8" s="1280"/>
      <c r="Z8" s="1277"/>
      <c r="AA8" s="1170"/>
      <c r="AB8" s="1178"/>
      <c r="AC8" s="1179"/>
      <c r="AD8" s="1971" t="s">
        <v>469</v>
      </c>
      <c r="AE8" s="1972"/>
      <c r="AF8" s="1972"/>
      <c r="AG8" s="1972"/>
      <c r="AH8" s="1972"/>
      <c r="AI8" s="1973"/>
      <c r="AJ8" s="1179"/>
      <c r="AK8" s="1178"/>
      <c r="AL8" s="62"/>
    </row>
    <row r="9" spans="2:38" x14ac:dyDescent="0.25">
      <c r="B9" s="1274"/>
      <c r="C9" s="1286"/>
      <c r="D9" s="1181" t="str">
        <f>Results!B7</f>
        <v>Diesel</v>
      </c>
      <c r="E9" s="1265">
        <f>Results!C7/3.6</f>
        <v>40.479565345652581</v>
      </c>
      <c r="F9" s="1265">
        <f>Results!D7/3.6</f>
        <v>41.632751543312466</v>
      </c>
      <c r="G9" s="1265">
        <f>Results!E7/3.6</f>
        <v>44.018004119998388</v>
      </c>
      <c r="H9" s="1265">
        <f>Results!F7/3.6</f>
        <v>48.413126814936732</v>
      </c>
      <c r="I9" s="1266">
        <f>Results!G7/3.6</f>
        <v>52.808249509875083</v>
      </c>
      <c r="J9" s="1288"/>
      <c r="K9" s="1182" t="s">
        <v>239</v>
      </c>
      <c r="L9" s="502" t="s">
        <v>203</v>
      </c>
      <c r="M9" s="1598">
        <f>'Scenarios technology'!AN56/1000+'Scenarios technology'!AN141/1000</f>
        <v>0</v>
      </c>
      <c r="N9" s="1191">
        <f>'Scenarios technology'!AN196/3600+'Scenarios technology'!AN281/3600</f>
        <v>0</v>
      </c>
      <c r="O9" s="1191">
        <f>'Scenarios technology'!AN336/3600+'Scenarios technology'!AN421/3600</f>
        <v>0</v>
      </c>
      <c r="P9" s="1191">
        <f>(Q9+O9)/2</f>
        <v>0</v>
      </c>
      <c r="Q9" s="1192">
        <f>'Scenarios technology'!AN476/3600+'Scenarios technology'!AN561/3600</f>
        <v>0</v>
      </c>
      <c r="R9" s="1288"/>
      <c r="S9" s="1195" t="s">
        <v>452</v>
      </c>
      <c r="T9" s="448">
        <v>0.63700000000000001</v>
      </c>
      <c r="U9" s="448">
        <v>0.63700000000000001</v>
      </c>
      <c r="V9" s="448">
        <v>0.73</v>
      </c>
      <c r="W9" s="448">
        <v>0.73</v>
      </c>
      <c r="X9" s="367">
        <v>0.73</v>
      </c>
      <c r="Y9" s="1280"/>
      <c r="Z9" s="1277"/>
      <c r="AA9" s="1170"/>
      <c r="AB9" s="1178"/>
      <c r="AC9" s="1179"/>
      <c r="AD9" s="2042" t="str">
        <f>'Growth, Modal Shift, InfraCosts'!B135</f>
        <v>Used in unadjusted reference</v>
      </c>
      <c r="AE9" s="2043"/>
      <c r="AF9" s="2043"/>
      <c r="AG9" s="2043"/>
      <c r="AH9" s="2043"/>
      <c r="AI9" s="2044"/>
      <c r="AJ9" s="1179"/>
      <c r="AK9" s="1178"/>
      <c r="AL9" s="502"/>
    </row>
    <row r="10" spans="2:38" ht="15.75" thickBot="1" x14ac:dyDescent="0.3">
      <c r="B10" s="1274"/>
      <c r="C10" s="1286"/>
      <c r="D10" s="1181" t="str">
        <f>Results!B8</f>
        <v>Jet-fuel fossil</v>
      </c>
      <c r="E10" s="1265">
        <f>Results!C8/3.6</f>
        <v>9.4807031495479563</v>
      </c>
      <c r="F10" s="1265">
        <f>Results!D8/3.6</f>
        <v>11.577465696646408</v>
      </c>
      <c r="G10" s="1265">
        <f>Results!E8/3.6</f>
        <v>12.391217942601749</v>
      </c>
      <c r="H10" s="1265">
        <f>Results!F8/3.6</f>
        <v>11.63395192043378</v>
      </c>
      <c r="I10" s="1266">
        <f>Results!G8/3.6</f>
        <v>10.87668589826581</v>
      </c>
      <c r="J10" s="1288"/>
      <c r="K10" s="1182" t="s">
        <v>488</v>
      </c>
      <c r="L10" s="502" t="s">
        <v>204</v>
      </c>
      <c r="M10" s="1598">
        <f>M9/365/24*1000000</f>
        <v>0</v>
      </c>
      <c r="N10" s="1183">
        <f>N9/365/24*1000000</f>
        <v>0</v>
      </c>
      <c r="O10" s="1183">
        <f>O9/365/24*1000000</f>
        <v>0</v>
      </c>
      <c r="P10" s="1183">
        <f>P9/365/24*1000000</f>
        <v>0</v>
      </c>
      <c r="Q10" s="1184">
        <f>Q9/365/24*1000000</f>
        <v>0</v>
      </c>
      <c r="R10" s="1288"/>
      <c r="S10" s="1195" t="s">
        <v>485</v>
      </c>
      <c r="T10" s="62">
        <f>T8/8784*1000000</f>
        <v>0</v>
      </c>
      <c r="U10" s="62">
        <f>U8/8784*1000000</f>
        <v>0</v>
      </c>
      <c r="V10" s="1183">
        <f>V8/8784*1000000</f>
        <v>0</v>
      </c>
      <c r="W10" s="1183">
        <f>W8/8784*1000000</f>
        <v>0</v>
      </c>
      <c r="X10" s="1184">
        <f>X8/8784*1000000</f>
        <v>0</v>
      </c>
      <c r="Y10" s="1280"/>
      <c r="Z10" s="1277"/>
      <c r="AA10" s="1170"/>
      <c r="AB10" s="1178"/>
      <c r="AC10" s="1179"/>
      <c r="AD10" s="1204"/>
      <c r="AE10" s="1205">
        <f>'Growth, Modal Shift, InfraCosts'!D135</f>
        <v>2010</v>
      </c>
      <c r="AF10" s="1205">
        <f>'Growth, Modal Shift, InfraCosts'!E135</f>
        <v>2020</v>
      </c>
      <c r="AG10" s="1205">
        <f>'Growth, Modal Shift, InfraCosts'!F135</f>
        <v>2030</v>
      </c>
      <c r="AH10" s="1206">
        <f>'Growth, Modal Shift, InfraCosts'!H135</f>
        <v>2050</v>
      </c>
      <c r="AI10" s="1207" t="s">
        <v>392</v>
      </c>
      <c r="AJ10" s="1179"/>
      <c r="AK10" s="1178"/>
      <c r="AL10" s="502"/>
    </row>
    <row r="11" spans="2:38" x14ac:dyDescent="0.25">
      <c r="B11" s="1274"/>
      <c r="C11" s="1286"/>
      <c r="D11" s="1181" t="str">
        <f>Results!B9</f>
        <v>Biogas</v>
      </c>
      <c r="E11" s="1265">
        <f>Results!C9/3.6</f>
        <v>0</v>
      </c>
      <c r="F11" s="1265">
        <f>Results!D9/3.6</f>
        <v>0</v>
      </c>
      <c r="G11" s="1265">
        <f>Results!E9/3.6</f>
        <v>0</v>
      </c>
      <c r="H11" s="1265">
        <f>Results!F9/3.6</f>
        <v>0</v>
      </c>
      <c r="I11" s="1266">
        <f>Results!G9/3.6</f>
        <v>0</v>
      </c>
      <c r="J11" s="1288"/>
      <c r="K11" s="1182" t="s">
        <v>235</v>
      </c>
      <c r="L11" s="502" t="s">
        <v>204</v>
      </c>
      <c r="M11" s="1598">
        <f>M10*24/$K$38</f>
        <v>0</v>
      </c>
      <c r="N11" s="1183">
        <f>N10*24/$K$38</f>
        <v>0</v>
      </c>
      <c r="O11" s="1183">
        <f>O10*24/$K$38</f>
        <v>0</v>
      </c>
      <c r="P11" s="1183">
        <f>P10*24/$K$38</f>
        <v>0</v>
      </c>
      <c r="Q11" s="1184">
        <f>Q10*24/$K$38</f>
        <v>0</v>
      </c>
      <c r="R11" s="1288"/>
      <c r="S11" s="1195" t="s">
        <v>486</v>
      </c>
      <c r="T11" s="62">
        <f>T10/T9</f>
        <v>0</v>
      </c>
      <c r="U11" s="62">
        <f>U10/U9</f>
        <v>0</v>
      </c>
      <c r="V11" s="1183">
        <f>V10/V9</f>
        <v>0</v>
      </c>
      <c r="W11" s="1183">
        <f>W10/W9</f>
        <v>0</v>
      </c>
      <c r="X11" s="1184">
        <f>X10/X9</f>
        <v>0</v>
      </c>
      <c r="Y11" s="1280"/>
      <c r="Z11" s="1277"/>
      <c r="AA11" s="1170"/>
      <c r="AB11" s="1178"/>
      <c r="AC11" s="1179"/>
      <c r="AD11" s="1211"/>
      <c r="AE11" s="1212" t="s">
        <v>391</v>
      </c>
      <c r="AF11" s="1212" t="s">
        <v>391</v>
      </c>
      <c r="AG11" s="1212" t="s">
        <v>391</v>
      </c>
      <c r="AH11" s="1213" t="s">
        <v>391</v>
      </c>
      <c r="AI11" s="1214"/>
      <c r="AJ11" s="1179"/>
      <c r="AK11" s="1178"/>
      <c r="AL11" s="1170"/>
    </row>
    <row r="12" spans="2:38" x14ac:dyDescent="0.25">
      <c r="B12" s="1274"/>
      <c r="C12" s="1286"/>
      <c r="D12" s="1181" t="str">
        <f>Results!B10</f>
        <v>Bioethanol</v>
      </c>
      <c r="E12" s="1265">
        <f>Results!C10/3.6</f>
        <v>6.374538574767101E-2</v>
      </c>
      <c r="F12" s="1265">
        <f>Results!D10/3.6</f>
        <v>1.1243370224439673</v>
      </c>
      <c r="G12" s="1265">
        <f>Results!E10/3.6</f>
        <v>1.1961200981178521</v>
      </c>
      <c r="H12" s="1265">
        <f>Results!F10/3.6</f>
        <v>1.2785371415832245</v>
      </c>
      <c r="I12" s="1266">
        <f>Results!G10/3.6</f>
        <v>1.3609541850485962</v>
      </c>
      <c r="J12" s="1289"/>
      <c r="K12" s="1182" t="s">
        <v>252</v>
      </c>
      <c r="L12" s="502" t="s">
        <v>205</v>
      </c>
      <c r="M12" s="1598">
        <f>M7*$K$33/1000000</f>
        <v>0</v>
      </c>
      <c r="N12" s="1191">
        <f>N7*$K$33/1000000</f>
        <v>0</v>
      </c>
      <c r="O12" s="1191">
        <f>O7*$K$33/1000000</f>
        <v>0</v>
      </c>
      <c r="P12" s="1191">
        <f>P7*$K$33/1000000</f>
        <v>0</v>
      </c>
      <c r="Q12" s="1192">
        <f>Q7*$K$33/1000000</f>
        <v>0</v>
      </c>
      <c r="R12" s="1289"/>
      <c r="S12" s="1187" t="s">
        <v>451</v>
      </c>
      <c r="T12" s="58">
        <v>0.3</v>
      </c>
      <c r="U12" s="1876">
        <v>0.3</v>
      </c>
      <c r="V12" s="1876">
        <v>0.3</v>
      </c>
      <c r="W12" s="1876">
        <v>0.3</v>
      </c>
      <c r="X12" s="1877">
        <v>1</v>
      </c>
      <c r="Y12" s="1280"/>
      <c r="Z12" s="1277"/>
      <c r="AA12" s="1170"/>
      <c r="AB12" s="1178"/>
      <c r="AC12" s="1179"/>
      <c r="AD12" s="1215" t="s">
        <v>231</v>
      </c>
      <c r="AE12" s="1216">
        <f>'Vehicle Costs'!E34</f>
        <v>341008.75674057967</v>
      </c>
      <c r="AF12" s="1216">
        <f>'Vehicle Costs'!F34</f>
        <v>378937.67059000017</v>
      </c>
      <c r="AG12" s="1216">
        <f>'Vehicle Costs'!G34</f>
        <v>417184.94541137049</v>
      </c>
      <c r="AH12" s="1217">
        <f>'Vehicle Costs'!H34</f>
        <v>439074.52843704016</v>
      </c>
      <c r="AI12" s="1218">
        <v>13</v>
      </c>
      <c r="AJ12" s="1179"/>
      <c r="AK12" s="1178"/>
      <c r="AL12" s="502"/>
    </row>
    <row r="13" spans="2:38" x14ac:dyDescent="0.25">
      <c r="B13" s="1274"/>
      <c r="C13" s="1286"/>
      <c r="D13" s="1181" t="str">
        <f>Results!B11</f>
        <v>Biodiesel</v>
      </c>
      <c r="E13" s="1265">
        <f>Results!C11/3.6</f>
        <v>0.18853581198574471</v>
      </c>
      <c r="F13" s="1265">
        <f>Results!D11/3.6</f>
        <v>1.9267776001306978</v>
      </c>
      <c r="G13" s="1265">
        <f>Results!E11/3.6</f>
        <v>1.999136829337268</v>
      </c>
      <c r="H13" s="1265">
        <f>Results!F11/3.6</f>
        <v>2.09336887291468</v>
      </c>
      <c r="I13" s="1266">
        <f>Results!G11/3.6</f>
        <v>2.1876009164920918</v>
      </c>
      <c r="J13" s="1288"/>
      <c r="K13" s="1201" t="s">
        <v>241</v>
      </c>
      <c r="L13" s="1202" t="s">
        <v>205</v>
      </c>
      <c r="M13" s="1599">
        <f>M12*$K$36</f>
        <v>0</v>
      </c>
      <c r="N13" s="1600">
        <f>N12*$K$36</f>
        <v>0</v>
      </c>
      <c r="O13" s="1600">
        <f>O12*$K$36</f>
        <v>0</v>
      </c>
      <c r="P13" s="1600">
        <f>P12*$K$36</f>
        <v>0</v>
      </c>
      <c r="Q13" s="1601">
        <f>Q12*$K$36</f>
        <v>0</v>
      </c>
      <c r="R13" s="1288"/>
      <c r="S13" s="1187" t="s">
        <v>455</v>
      </c>
      <c r="T13" s="62">
        <f>T11*(1+T12)</f>
        <v>0</v>
      </c>
      <c r="U13" s="62">
        <f t="shared" ref="U13:X13" si="1">U11*(1+U12)</f>
        <v>0</v>
      </c>
      <c r="V13" s="1183">
        <f t="shared" si="1"/>
        <v>0</v>
      </c>
      <c r="W13" s="1183">
        <f t="shared" si="1"/>
        <v>0</v>
      </c>
      <c r="X13" s="1184">
        <f t="shared" si="1"/>
        <v>0</v>
      </c>
      <c r="Y13" s="1280"/>
      <c r="Z13" s="1277"/>
      <c r="AB13" s="1178"/>
      <c r="AC13" s="1179"/>
      <c r="AD13" s="1215" t="s">
        <v>387</v>
      </c>
      <c r="AE13" s="1149">
        <f>'Vehicle Costs'!E35</f>
        <v>5.7038888496876439E-2</v>
      </c>
      <c r="AF13" s="1149">
        <f>'Vehicle Costs'!F35</f>
        <v>5.6997744774296429E-2</v>
      </c>
      <c r="AG13" s="1149">
        <f>'Vehicle Costs'!G35</f>
        <v>5.7881278438488011E-2</v>
      </c>
      <c r="AH13" s="1150">
        <f>'Vehicle Costs'!H35</f>
        <v>5.6816821493973789E-2</v>
      </c>
      <c r="AI13" s="1218"/>
      <c r="AJ13" s="1179"/>
      <c r="AK13" s="1178"/>
      <c r="AL13" s="502"/>
    </row>
    <row r="14" spans="2:38" ht="15.75" thickBot="1" x14ac:dyDescent="0.3">
      <c r="B14" s="1274"/>
      <c r="C14" s="1286"/>
      <c r="D14" s="1181" t="str">
        <f>Results!B12</f>
        <v>Bio-methanol</v>
      </c>
      <c r="E14" s="1267">
        <f>(Results!C12/3.6)*$E$25</f>
        <v>0</v>
      </c>
      <c r="F14" s="1267">
        <f>(Results!D12/3.6)*$E$25</f>
        <v>0</v>
      </c>
      <c r="G14" s="1267">
        <f>(Results!E12/3.6)*$E$25</f>
        <v>0</v>
      </c>
      <c r="H14" s="1267">
        <f>(Results!F12/3.6)*$E$25</f>
        <v>0</v>
      </c>
      <c r="I14" s="1268">
        <f>(Results!G12/3.6)*$E$25</f>
        <v>0</v>
      </c>
      <c r="J14" s="1288"/>
      <c r="K14" s="1182" t="s">
        <v>242</v>
      </c>
      <c r="L14" s="1170" t="s">
        <v>251</v>
      </c>
      <c r="M14" s="1612">
        <f>'Vehicle Costs'!K58+'Vehicle Costs'!K59+'Vehicle Costs'!K52+'Vehicle Costs'!K65</f>
        <v>0</v>
      </c>
      <c r="N14" s="991">
        <f>'Vehicle Costs'!L58+'Vehicle Costs'!L59+'Vehicle Costs'!L52+'Vehicle Costs'!L65</f>
        <v>0</v>
      </c>
      <c r="O14" s="991">
        <f>'Vehicle Costs'!M58+'Vehicle Costs'!M59+'Vehicle Costs'!M52+'Vehicle Costs'!M65</f>
        <v>0</v>
      </c>
      <c r="P14" s="991">
        <f>'Vehicle Costs'!N58+'Vehicle Costs'!N59+'Vehicle Costs'!N52+'Vehicle Costs'!N65</f>
        <v>0</v>
      </c>
      <c r="Q14" s="992">
        <f>'Vehicle Costs'!O58+'Vehicle Costs'!O59+'Vehicle Costs'!O52+'Vehicle Costs'!O65</f>
        <v>0</v>
      </c>
      <c r="R14" s="1288"/>
      <c r="S14" s="1209" t="s">
        <v>456</v>
      </c>
      <c r="T14" s="1597">
        <f>(T8*1000/52)*$K$42</f>
        <v>0</v>
      </c>
      <c r="U14" s="1597">
        <f>(U8*1000/52)*$K$42</f>
        <v>0</v>
      </c>
      <c r="V14" s="1222">
        <f>(V8*1000/52)*$K$42</f>
        <v>0</v>
      </c>
      <c r="W14" s="1222">
        <f>(W8*1000/52)*$K$42</f>
        <v>0</v>
      </c>
      <c r="X14" s="1223">
        <f>(X8*1000/52)*$K$42</f>
        <v>0</v>
      </c>
      <c r="Y14" s="1280"/>
      <c r="Z14" s="1277"/>
      <c r="AB14" s="1178"/>
      <c r="AC14" s="1179"/>
      <c r="AD14" s="1215" t="s">
        <v>388</v>
      </c>
      <c r="AE14" s="1216">
        <f>'Vehicle Costs'!E38</f>
        <v>0</v>
      </c>
      <c r="AF14" s="1216">
        <f>'Vehicle Costs'!F38</f>
        <v>0</v>
      </c>
      <c r="AG14" s="1216">
        <f>'Vehicle Costs'!G38</f>
        <v>0</v>
      </c>
      <c r="AH14" s="1217">
        <f>'Vehicle Costs'!H38</f>
        <v>0</v>
      </c>
      <c r="AI14" s="1218">
        <v>10</v>
      </c>
      <c r="AJ14" s="1179"/>
      <c r="AK14" s="1178"/>
      <c r="AL14" s="1170"/>
    </row>
    <row r="15" spans="2:38" ht="15.75" thickBot="1" x14ac:dyDescent="0.3">
      <c r="B15" s="1274"/>
      <c r="C15" s="1286"/>
      <c r="D15" s="1181" t="str">
        <f>Results!B13</f>
        <v>Bio-jetfuel</v>
      </c>
      <c r="E15" s="1267">
        <f>(Results!C13/3.6)*$E$25</f>
        <v>0</v>
      </c>
      <c r="F15" s="1267">
        <f>(Results!D13/3.6)*$E$25</f>
        <v>0</v>
      </c>
      <c r="G15" s="1267">
        <f>(Results!E13/3.6)*$E$25</f>
        <v>0</v>
      </c>
      <c r="H15" s="1267">
        <f>(Results!F13/3.6)*$E$25</f>
        <v>0</v>
      </c>
      <c r="I15" s="1268">
        <f>(Results!G13/3.6)*$E$25</f>
        <v>0</v>
      </c>
      <c r="J15" s="1288"/>
      <c r="K15" s="1182" t="s">
        <v>240</v>
      </c>
      <c r="L15" s="502" t="s">
        <v>204</v>
      </c>
      <c r="M15" s="1598">
        <f>M14*$K$31/1000</f>
        <v>0</v>
      </c>
      <c r="N15" s="1183">
        <f>N14*$K$31/1000</f>
        <v>0</v>
      </c>
      <c r="O15" s="1183">
        <f>O14*$K$31/1000</f>
        <v>0</v>
      </c>
      <c r="P15" s="1183">
        <f>P14*$K$31/1000</f>
        <v>0</v>
      </c>
      <c r="Q15" s="1184">
        <f>Q14*$K$31/1000</f>
        <v>0</v>
      </c>
      <c r="R15" s="1279"/>
      <c r="S15" s="1279"/>
      <c r="T15" s="1279"/>
      <c r="U15" s="1279"/>
      <c r="V15" s="1279"/>
      <c r="W15" s="1279"/>
      <c r="X15" s="1279"/>
      <c r="Y15" s="1280"/>
      <c r="Z15" s="1277"/>
      <c r="AB15" s="1178"/>
      <c r="AC15" s="1179"/>
      <c r="AD15" s="1215" t="s">
        <v>393</v>
      </c>
      <c r="AE15" s="1216">
        <f>Results!AB25</f>
        <v>0</v>
      </c>
      <c r="AF15" s="1216">
        <f>Results!AC25+Results!AC26</f>
        <v>10090.543768165018</v>
      </c>
      <c r="AG15" s="1216">
        <f>Results!AD25+Results!AD26</f>
        <v>12517.043390551395</v>
      </c>
      <c r="AH15" s="1217">
        <f>Results!AF25+Results!AF26</f>
        <v>12525.184061807269</v>
      </c>
      <c r="AI15" s="1218">
        <v>1</v>
      </c>
      <c r="AJ15" s="1179"/>
      <c r="AK15" s="1178"/>
      <c r="AL15" s="1170"/>
    </row>
    <row r="16" spans="2:38" ht="15.75" thickBot="1" x14ac:dyDescent="0.3">
      <c r="B16" s="1274"/>
      <c r="C16" s="1286"/>
      <c r="D16" s="1181" t="str">
        <f>Results!B14</f>
        <v>Syn-methanol</v>
      </c>
      <c r="E16" s="1267">
        <f>(Results!C14/3.6)*$E$25</f>
        <v>0</v>
      </c>
      <c r="F16" s="1267">
        <f>(Results!D14/3.6)*$E$25</f>
        <v>0</v>
      </c>
      <c r="G16" s="1267">
        <f>(Results!E14/3.6)*$E$25</f>
        <v>0</v>
      </c>
      <c r="H16" s="1267">
        <f>(Results!F14/3.6)*$E$25</f>
        <v>0</v>
      </c>
      <c r="I16" s="1268">
        <f>(Results!G14/3.6)*$E$25</f>
        <v>0</v>
      </c>
      <c r="J16" s="1288"/>
      <c r="K16" s="1182" t="s">
        <v>239</v>
      </c>
      <c r="L16" s="502" t="s">
        <v>203</v>
      </c>
      <c r="M16" s="1598">
        <f>E19-M9</f>
        <v>0</v>
      </c>
      <c r="N16" s="1191">
        <f>F19-N9</f>
        <v>0</v>
      </c>
      <c r="O16" s="1191">
        <f>G19-O9</f>
        <v>0</v>
      </c>
      <c r="P16" s="1191">
        <f>H19-P9</f>
        <v>0</v>
      </c>
      <c r="Q16" s="1192">
        <f>I19-Q9</f>
        <v>0</v>
      </c>
      <c r="R16" s="1279"/>
      <c r="S16" s="1971" t="s">
        <v>491</v>
      </c>
      <c r="T16" s="1972"/>
      <c r="U16" s="1972"/>
      <c r="V16" s="1972"/>
      <c r="W16" s="1972"/>
      <c r="X16" s="1973"/>
      <c r="Y16" s="1280"/>
      <c r="Z16" s="1277"/>
      <c r="AB16" s="1178"/>
      <c r="AC16" s="1179"/>
      <c r="AD16" s="1215" t="s">
        <v>364</v>
      </c>
      <c r="AE16" s="1220"/>
      <c r="AF16" s="1216">
        <f>-PV($AE$5,$AI16,AF15)</f>
        <v>197779.11131217613</v>
      </c>
      <c r="AG16" s="1216">
        <f>-PV($AE$5,$AI16,AG15)</f>
        <v>245339.57484527084</v>
      </c>
      <c r="AH16" s="1217">
        <f>-PV($AE$5,$AI16,AH15)</f>
        <v>245499.13559476694</v>
      </c>
      <c r="AI16" s="1218">
        <v>30</v>
      </c>
      <c r="AJ16" s="1179"/>
      <c r="AK16" s="1178"/>
      <c r="AL16" s="1170"/>
    </row>
    <row r="17" spans="2:38" ht="15.75" thickBot="1" x14ac:dyDescent="0.3">
      <c r="B17" s="1274"/>
      <c r="C17" s="1286"/>
      <c r="D17" s="1181" t="str">
        <f>Results!B15</f>
        <v>Syn-jetfuel</v>
      </c>
      <c r="E17" s="1267">
        <f>(Results!C15/3.6)*$E$25</f>
        <v>0</v>
      </c>
      <c r="F17" s="1267">
        <f>(Results!D15/3.6)*$E$25</f>
        <v>0</v>
      </c>
      <c r="G17" s="1267">
        <f>(Results!E15/3.6)*$E$25</f>
        <v>0</v>
      </c>
      <c r="H17" s="1267">
        <f>(Results!F15/3.6)*$E$25</f>
        <v>0</v>
      </c>
      <c r="I17" s="1268">
        <f>(Results!G15/3.6)*$E$25</f>
        <v>0</v>
      </c>
      <c r="J17" s="1288"/>
      <c r="K17" s="1182" t="s">
        <v>488</v>
      </c>
      <c r="L17" s="502" t="s">
        <v>204</v>
      </c>
      <c r="M17" s="1598">
        <f>M16/365/24*1000000</f>
        <v>0</v>
      </c>
      <c r="N17" s="1183">
        <f>N16/365/24*1000000</f>
        <v>0</v>
      </c>
      <c r="O17" s="1183">
        <f>O16/365/24*1000000</f>
        <v>0</v>
      </c>
      <c r="P17" s="1183">
        <f>P16/365/24*1000000</f>
        <v>0</v>
      </c>
      <c r="Q17" s="1184">
        <f>Q16/365/24*1000000</f>
        <v>0</v>
      </c>
      <c r="R17" s="1279"/>
      <c r="S17" s="1167" t="s">
        <v>454</v>
      </c>
      <c r="T17" s="1596">
        <v>2010</v>
      </c>
      <c r="U17" s="1168">
        <v>2020</v>
      </c>
      <c r="V17" s="1168">
        <v>2030</v>
      </c>
      <c r="W17" s="1168">
        <v>2040</v>
      </c>
      <c r="X17" s="1169">
        <v>2050</v>
      </c>
      <c r="Y17" s="1280"/>
      <c r="Z17" s="1277"/>
      <c r="AB17" s="1178"/>
      <c r="AC17" s="1179"/>
      <c r="AD17" s="1215" t="s">
        <v>394</v>
      </c>
      <c r="AE17" s="1216">
        <f>Results!AB26</f>
        <v>0</v>
      </c>
      <c r="AF17" s="1216">
        <f>Results!AC27+Results!AC28</f>
        <v>1286.4826429679165</v>
      </c>
      <c r="AG17" s="1216">
        <f>Results!AD27+Results!AD28</f>
        <v>3213.8989749546595</v>
      </c>
      <c r="AH17" s="1217">
        <f>Results!AF27+Results!AF28</f>
        <v>4334.5101718119477</v>
      </c>
      <c r="AI17" s="1218">
        <v>1</v>
      </c>
      <c r="AJ17" s="1179"/>
      <c r="AK17" s="1178"/>
      <c r="AL17" s="1170"/>
    </row>
    <row r="18" spans="2:38" x14ac:dyDescent="0.25">
      <c r="B18" s="1274"/>
      <c r="C18" s="1286"/>
      <c r="D18" s="1181" t="str">
        <f>Results!B16</f>
        <v>Electricity Train / bus</v>
      </c>
      <c r="E18" s="1265">
        <f>Results!C16/3.6</f>
        <v>0.40000726234567896</v>
      </c>
      <c r="F18" s="1265">
        <f>Results!D16/3.6</f>
        <v>0.72335007893933578</v>
      </c>
      <c r="G18" s="1265">
        <f>Results!E16/3.6</f>
        <v>0.84850149314023882</v>
      </c>
      <c r="H18" s="1265">
        <f>Results!F16/3.6</f>
        <v>0.86440502179942913</v>
      </c>
      <c r="I18" s="1266">
        <f>Results!G16/3.6</f>
        <v>0.88030855045861955</v>
      </c>
      <c r="J18" s="1288"/>
      <c r="K18" s="1182" t="s">
        <v>235</v>
      </c>
      <c r="L18" s="502" t="s">
        <v>204</v>
      </c>
      <c r="M18" s="1598">
        <f>M17*24/$K$38</f>
        <v>0</v>
      </c>
      <c r="N18" s="1183">
        <f>N17*24/$K$38</f>
        <v>0</v>
      </c>
      <c r="O18" s="1183">
        <f>O17*24/$K$38</f>
        <v>0</v>
      </c>
      <c r="P18" s="1183">
        <f>P17*24/$K$38</f>
        <v>0</v>
      </c>
      <c r="Q18" s="1184">
        <f>Q17*24/$K$38</f>
        <v>0</v>
      </c>
      <c r="R18" s="1279"/>
      <c r="S18" s="1187" t="s">
        <v>453</v>
      </c>
      <c r="T18" s="61">
        <f>E22</f>
        <v>0</v>
      </c>
      <c r="U18" s="61">
        <f>F22</f>
        <v>0</v>
      </c>
      <c r="V18" s="61">
        <f>G22</f>
        <v>0</v>
      </c>
      <c r="W18" s="61">
        <f>H22</f>
        <v>0</v>
      </c>
      <c r="X18" s="1188">
        <f>I22</f>
        <v>0</v>
      </c>
      <c r="Y18" s="1280"/>
      <c r="Z18" s="1277"/>
      <c r="AB18" s="1178"/>
      <c r="AC18" s="1179"/>
      <c r="AD18" s="1226" t="s">
        <v>365</v>
      </c>
      <c r="AE18" s="1227"/>
      <c r="AF18" s="1228">
        <f>-PV($AE$5,$AI18,AF17)</f>
        <v>25215.627590603504</v>
      </c>
      <c r="AG18" s="1228">
        <f>-PV($AE$5,$AI18,AG17)</f>
        <v>62993.838361719812</v>
      </c>
      <c r="AH18" s="1229">
        <f>-PV($AE$5,$AI18,AH17)</f>
        <v>84958.312401280215</v>
      </c>
      <c r="AI18" s="1230">
        <v>30</v>
      </c>
      <c r="AJ18" s="1179"/>
      <c r="AK18" s="1178"/>
      <c r="AL18" s="502"/>
    </row>
    <row r="19" spans="2:38" ht="15.75" thickBot="1" x14ac:dyDescent="0.3">
      <c r="B19" s="1274"/>
      <c r="C19" s="1286"/>
      <c r="D19" s="1219" t="str">
        <f>Results!B17</f>
        <v>Electricity BEV + Plug-in-hybrid</v>
      </c>
      <c r="E19" s="1569">
        <f>Results!C17/3.6</f>
        <v>0</v>
      </c>
      <c r="F19" s="1569">
        <f>Results!D17/3.6</f>
        <v>0</v>
      </c>
      <c r="G19" s="1569">
        <f>Results!E17/3.6</f>
        <v>0</v>
      </c>
      <c r="H19" s="1569">
        <f>Results!F17/3.6</f>
        <v>0</v>
      </c>
      <c r="I19" s="1568">
        <f>Results!G17/3.6</f>
        <v>0</v>
      </c>
      <c r="J19" s="1290"/>
      <c r="K19" s="1182" t="s">
        <v>252</v>
      </c>
      <c r="L19" s="502" t="s">
        <v>205</v>
      </c>
      <c r="M19" s="1598">
        <f>M14*$K$34/1000000</f>
        <v>0</v>
      </c>
      <c r="N19" s="1191">
        <f>N14*$K$34/1000000</f>
        <v>0</v>
      </c>
      <c r="O19" s="1191">
        <f>O14*$K$34/1000000</f>
        <v>0</v>
      </c>
      <c r="P19" s="1191">
        <f>P14*$K$34/1000000</f>
        <v>0</v>
      </c>
      <c r="Q19" s="1192">
        <f>Q14*$K$34/1000000</f>
        <v>0</v>
      </c>
      <c r="R19" s="1279"/>
      <c r="S19" s="1195" t="s">
        <v>452</v>
      </c>
      <c r="T19" s="448">
        <v>0.63700000000000001</v>
      </c>
      <c r="U19" s="448">
        <v>0.63700000000000001</v>
      </c>
      <c r="V19" s="448">
        <v>0.73</v>
      </c>
      <c r="W19" s="448">
        <v>0.73</v>
      </c>
      <c r="X19" s="367">
        <v>0.73</v>
      </c>
      <c r="Y19" s="1280"/>
      <c r="Z19" s="1277"/>
      <c r="AB19" s="1178"/>
      <c r="AC19" s="1179"/>
      <c r="AD19" s="1231" t="s">
        <v>470</v>
      </c>
      <c r="AE19" s="1232"/>
      <c r="AF19" s="1233">
        <f>SUM(AF15:AF18,AF12)</f>
        <v>613309.43590391276</v>
      </c>
      <c r="AG19" s="1233">
        <f>SUM(AG15:AG18,AG12)</f>
        <v>741249.30098386714</v>
      </c>
      <c r="AH19" s="1234">
        <f>SUM(AH15:AH18,AH12)</f>
        <v>786391.67066670652</v>
      </c>
      <c r="AI19" s="1235"/>
      <c r="AJ19" s="1179"/>
      <c r="AK19" s="1178"/>
      <c r="AL19" s="1170"/>
    </row>
    <row r="20" spans="2:38" ht="16.5" thickTop="1" thickBot="1" x14ac:dyDescent="0.3">
      <c r="B20" s="1274"/>
      <c r="C20" s="1286"/>
      <c r="D20" s="1221" t="str">
        <f>Results!B18</f>
        <v>Sum</v>
      </c>
      <c r="E20" s="1269">
        <f>Results!C18/3.6</f>
        <v>70.281025208246447</v>
      </c>
      <c r="F20" s="1269">
        <f>Results!D18/3.6</f>
        <v>74.09247288580903</v>
      </c>
      <c r="G20" s="1269">
        <f>Results!E18/3.6</f>
        <v>76.380163509265842</v>
      </c>
      <c r="H20" s="1269">
        <f>Results!F18/3.6</f>
        <v>77.902381202625349</v>
      </c>
      <c r="I20" s="1270">
        <f>Results!G18/3.6</f>
        <v>79.424598895984857</v>
      </c>
      <c r="J20" s="1291"/>
      <c r="K20" s="1201" t="s">
        <v>241</v>
      </c>
      <c r="L20" s="1202" t="s">
        <v>205</v>
      </c>
      <c r="M20" s="1599">
        <f>M19*$K$36</f>
        <v>0</v>
      </c>
      <c r="N20" s="1600">
        <f>N19*$K$36</f>
        <v>0</v>
      </c>
      <c r="O20" s="1600">
        <f>O19*$K$36</f>
        <v>0</v>
      </c>
      <c r="P20" s="1600">
        <f>P19*$K$36</f>
        <v>0</v>
      </c>
      <c r="Q20" s="1601">
        <f>Q19*$K$36</f>
        <v>0</v>
      </c>
      <c r="R20" s="1279"/>
      <c r="S20" s="1195" t="s">
        <v>485</v>
      </c>
      <c r="T20" s="62">
        <f>T18/8784*1000000</f>
        <v>0</v>
      </c>
      <c r="U20" s="62">
        <f>U18/8784*1000000</f>
        <v>0</v>
      </c>
      <c r="V20" s="1183">
        <f>V18/8784*1000000</f>
        <v>0</v>
      </c>
      <c r="W20" s="1183">
        <f>W18/8784*1000000</f>
        <v>0</v>
      </c>
      <c r="X20" s="1184">
        <f>X18/8784*1000000</f>
        <v>0</v>
      </c>
      <c r="Y20" s="1280"/>
      <c r="Z20" s="1277"/>
      <c r="AB20" s="1178"/>
      <c r="AC20" s="1179"/>
      <c r="AD20" s="1179"/>
      <c r="AE20" s="1179"/>
      <c r="AF20" s="1179"/>
      <c r="AG20" s="1179"/>
      <c r="AH20" s="1179"/>
      <c r="AI20" s="1179"/>
      <c r="AJ20" s="1179"/>
      <c r="AK20" s="1178"/>
      <c r="AL20" s="1170"/>
    </row>
    <row r="21" spans="2:38" ht="15.75" thickBot="1" x14ac:dyDescent="0.3">
      <c r="B21" s="1274"/>
      <c r="C21" s="1286"/>
      <c r="D21" s="1161" t="s">
        <v>464</v>
      </c>
      <c r="E21" s="1152">
        <f>E14*$E$34+E15*(1+$E$26)*$E$34</f>
        <v>0</v>
      </c>
      <c r="F21" s="1152">
        <f>F14*$E$34+F15*(1+$E$26)*$E$34</f>
        <v>0</v>
      </c>
      <c r="G21" s="1152">
        <f>G14*$E$34+G15*(1+$E$26)*$E$34</f>
        <v>0</v>
      </c>
      <c r="H21" s="1152">
        <f>H14*$E$34+H15*(1+$E$26)*$E$34</f>
        <v>0</v>
      </c>
      <c r="I21" s="1153">
        <f>I14*$E$34+I15*(1+$E$26)*$E$34</f>
        <v>0</v>
      </c>
      <c r="J21" s="1292"/>
      <c r="K21" s="1602" t="s">
        <v>248</v>
      </c>
      <c r="L21" s="1603"/>
      <c r="M21" s="1624"/>
      <c r="N21" s="1156"/>
      <c r="O21" s="1156"/>
      <c r="P21" s="1156"/>
      <c r="Q21" s="1186"/>
      <c r="R21" s="1279"/>
      <c r="S21" s="1195" t="s">
        <v>486</v>
      </c>
      <c r="T21" s="62">
        <f>T20/T19</f>
        <v>0</v>
      </c>
      <c r="U21" s="62">
        <f>U20/U19</f>
        <v>0</v>
      </c>
      <c r="V21" s="1183">
        <f>V20/V19</f>
        <v>0</v>
      </c>
      <c r="W21" s="1183">
        <f>W20/W19</f>
        <v>0</v>
      </c>
      <c r="X21" s="1184">
        <f>X20/X19</f>
        <v>0</v>
      </c>
      <c r="Y21" s="1280"/>
      <c r="Z21" s="1277"/>
      <c r="AB21" s="1178"/>
      <c r="AC21" s="1179"/>
      <c r="AD21" s="1179"/>
      <c r="AE21" s="1179"/>
      <c r="AF21" s="1179"/>
      <c r="AG21" s="1179"/>
      <c r="AH21" s="1179"/>
      <c r="AI21" s="1179"/>
      <c r="AJ21" s="1179"/>
      <c r="AK21" s="1178"/>
    </row>
    <row r="22" spans="2:38" ht="15.75" thickBot="1" x14ac:dyDescent="0.3">
      <c r="B22" s="1274"/>
      <c r="C22" s="1286"/>
      <c r="D22" s="1161" t="s">
        <v>465</v>
      </c>
      <c r="E22" s="1152">
        <f>E16*$E$39+E17*(1+$E$26)*$E$39</f>
        <v>0</v>
      </c>
      <c r="F22" s="1152">
        <f>F16*$E$39+F17*(1+$E$26)*$E$39</f>
        <v>0</v>
      </c>
      <c r="G22" s="1152">
        <f>G16*$E$39+G17*(1+$E$26)*$E$39</f>
        <v>0</v>
      </c>
      <c r="H22" s="1152">
        <f>H16*$E$39+H17*(1+$E$26)*$E$39</f>
        <v>0</v>
      </c>
      <c r="I22" s="1153">
        <f>I16*$E$39+I17*(1+$E$26)*$E$39</f>
        <v>0</v>
      </c>
      <c r="J22" s="1292"/>
      <c r="K22" s="1602" t="str">
        <f>K8</f>
        <v>Charging capacity</v>
      </c>
      <c r="L22" s="1603" t="str">
        <f>L8</f>
        <v>MW</v>
      </c>
      <c r="M22" s="1618">
        <f>M8+M15</f>
        <v>0</v>
      </c>
      <c r="N22" s="1619">
        <f>N8+N15</f>
        <v>0</v>
      </c>
      <c r="O22" s="1619">
        <f>O8+O15</f>
        <v>0</v>
      </c>
      <c r="P22" s="1619">
        <f>P8+P15</f>
        <v>0</v>
      </c>
      <c r="Q22" s="1620">
        <f>Q8+Q15</f>
        <v>0</v>
      </c>
      <c r="R22" s="1279"/>
      <c r="S22" s="1187" t="s">
        <v>451</v>
      </c>
      <c r="T22" s="58">
        <f>T12</f>
        <v>0.3</v>
      </c>
      <c r="U22" s="58">
        <f>U12</f>
        <v>0.3</v>
      </c>
      <c r="V22" s="58">
        <f>V12</f>
        <v>0.3</v>
      </c>
      <c r="W22" s="58">
        <f>W12</f>
        <v>0.3</v>
      </c>
      <c r="X22" s="1272">
        <f>X12</f>
        <v>1</v>
      </c>
      <c r="Y22" s="1280"/>
      <c r="Z22" s="1277"/>
      <c r="AB22" s="1178"/>
      <c r="AC22" s="1179"/>
      <c r="AD22" s="2039" t="s">
        <v>468</v>
      </c>
      <c r="AE22" s="2040"/>
      <c r="AF22" s="2040"/>
      <c r="AG22" s="2040"/>
      <c r="AH22" s="2040"/>
      <c r="AI22" s="2041"/>
      <c r="AJ22" s="1179"/>
      <c r="AK22" s="1178"/>
    </row>
    <row r="23" spans="2:38" x14ac:dyDescent="0.25">
      <c r="B23" s="1274"/>
      <c r="C23" s="1286"/>
      <c r="D23" s="1161" t="s">
        <v>466</v>
      </c>
      <c r="E23" s="1154">
        <f>(E17*(1+$E$26)+E16)*$E$42</f>
        <v>0</v>
      </c>
      <c r="F23" s="1154">
        <f>(F17*(1+$E$26)+F16)*$E$42</f>
        <v>0</v>
      </c>
      <c r="G23" s="1154">
        <f>(G17*(1+$E$26)+G16)*$E$42</f>
        <v>0</v>
      </c>
      <c r="H23" s="1154">
        <f>(H17*(1+$E$26)+H16)*$E$42</f>
        <v>0</v>
      </c>
      <c r="I23" s="1155">
        <f>(I17*(1+$E$26)+I16)*$E$42</f>
        <v>0</v>
      </c>
      <c r="J23" s="1293"/>
      <c r="K23" s="1602" t="str">
        <f>K11</f>
        <v>MW peak</v>
      </c>
      <c r="L23" s="1603" t="str">
        <f>L11</f>
        <v>MW</v>
      </c>
      <c r="M23" s="1614">
        <f>M11+M18</f>
        <v>0</v>
      </c>
      <c r="N23" s="1615">
        <f>N11+N18</f>
        <v>0</v>
      </c>
      <c r="O23" s="1615">
        <f>O11+O18</f>
        <v>0</v>
      </c>
      <c r="P23" s="1615">
        <f>P11+P18</f>
        <v>0</v>
      </c>
      <c r="Q23" s="1616">
        <f>Q11+Q18</f>
        <v>0</v>
      </c>
      <c r="R23" s="1279"/>
      <c r="S23" s="1187" t="s">
        <v>492</v>
      </c>
      <c r="T23" s="1203">
        <f>(T21*(1+T22))*0.73/1.15</f>
        <v>0</v>
      </c>
      <c r="U23" s="1203">
        <f>(U21*(1+U22))*0.73/1.15</f>
        <v>0</v>
      </c>
      <c r="V23" s="1635">
        <f>(V21*(1+V22))*0.73/1.15</f>
        <v>0</v>
      </c>
      <c r="W23" s="1635">
        <f>(W21*(1+W22))*0.73/1.15</f>
        <v>0</v>
      </c>
      <c r="X23" s="1636">
        <f>(X21*(1+X22))*0.73/1.15</f>
        <v>0</v>
      </c>
      <c r="Y23" s="1280"/>
      <c r="Z23" s="1277"/>
      <c r="AB23" s="1178"/>
      <c r="AC23" s="1179"/>
      <c r="AD23" s="2042" t="s">
        <v>178</v>
      </c>
      <c r="AE23" s="2043"/>
      <c r="AF23" s="2043"/>
      <c r="AG23" s="2043"/>
      <c r="AH23" s="2043"/>
      <c r="AI23" s="2044"/>
      <c r="AJ23" s="1179"/>
      <c r="AK23" s="1178"/>
    </row>
    <row r="24" spans="2:38" ht="15.75" thickBot="1" x14ac:dyDescent="0.3">
      <c r="B24" s="1274"/>
      <c r="C24" s="1286"/>
      <c r="D24" s="1162" t="s">
        <v>467</v>
      </c>
      <c r="E24" s="1157">
        <f>(E16+E17*(1+$E$26))*$E$40</f>
        <v>0</v>
      </c>
      <c r="F24" s="1157">
        <f>(F16+F17*(1+$E$26))*$E$40</f>
        <v>0</v>
      </c>
      <c r="G24" s="1157">
        <f>(G16+G17*(1+$E$26))*$E$40</f>
        <v>0</v>
      </c>
      <c r="H24" s="1157">
        <f>(H16+H17*(1+$E$26))*$E$40</f>
        <v>0</v>
      </c>
      <c r="I24" s="1158">
        <f>(I16+I17*(1+$E$26))*$E$40</f>
        <v>0</v>
      </c>
      <c r="J24" s="1292"/>
      <c r="K24" s="1602" t="s">
        <v>473</v>
      </c>
      <c r="L24" s="1603" t="str">
        <f>L13</f>
        <v>GWh</v>
      </c>
      <c r="M24" s="1604">
        <f>M13+M20</f>
        <v>0</v>
      </c>
      <c r="N24" s="1605">
        <f>N13+N20</f>
        <v>0</v>
      </c>
      <c r="O24" s="1605">
        <f>O13+O20</f>
        <v>0</v>
      </c>
      <c r="P24" s="1605">
        <f>P13+P20</f>
        <v>0</v>
      </c>
      <c r="Q24" s="1606">
        <f>Q13+Q20</f>
        <v>0</v>
      </c>
      <c r="R24" s="1279"/>
      <c r="S24" s="1209" t="s">
        <v>456</v>
      </c>
      <c r="T24" s="1597">
        <f>(T18*1000/52)*$K$42</f>
        <v>0</v>
      </c>
      <c r="U24" s="1597">
        <f>(U18*1000/52)*$K$42</f>
        <v>0</v>
      </c>
      <c r="V24" s="1222">
        <f>(V18*1000/52)*$K$42</f>
        <v>0</v>
      </c>
      <c r="W24" s="1222">
        <f>(W18*1000/52)*$K$42</f>
        <v>0</v>
      </c>
      <c r="X24" s="1223">
        <f>(X18*1000/52)*$K$42</f>
        <v>0</v>
      </c>
      <c r="Y24" s="1280"/>
      <c r="Z24" s="1277"/>
      <c r="AB24" s="1178"/>
      <c r="AC24" s="1179"/>
      <c r="AD24" s="1241"/>
      <c r="AE24" s="1242">
        <v>2010</v>
      </c>
      <c r="AF24" s="1242">
        <v>2020</v>
      </c>
      <c r="AG24" s="1242">
        <v>2030</v>
      </c>
      <c r="AH24" s="1243">
        <v>2050</v>
      </c>
      <c r="AI24" s="1244" t="s">
        <v>392</v>
      </c>
      <c r="AJ24" s="1179"/>
      <c r="AK24" s="1178"/>
    </row>
    <row r="25" spans="2:38" ht="15.75" thickBot="1" x14ac:dyDescent="0.3">
      <c r="B25" s="1274"/>
      <c r="C25" s="1286"/>
      <c r="D25" s="1236" t="s">
        <v>462</v>
      </c>
      <c r="E25" s="1159">
        <f>1/0.95</f>
        <v>1.0526315789473684</v>
      </c>
      <c r="F25" s="1159">
        <f t="shared" ref="F25:I25" si="2">1/0.95</f>
        <v>1.0526315789473684</v>
      </c>
      <c r="G25" s="1159">
        <f t="shared" si="2"/>
        <v>1.0526315789473684</v>
      </c>
      <c r="H25" s="1159">
        <f t="shared" si="2"/>
        <v>1.0526315789473684</v>
      </c>
      <c r="I25" s="1160">
        <f t="shared" si="2"/>
        <v>1.0526315789473684</v>
      </c>
      <c r="J25" s="1279"/>
      <c r="K25" s="1607" t="s">
        <v>443</v>
      </c>
      <c r="L25" s="1608" t="s">
        <v>204</v>
      </c>
      <c r="M25" s="1621">
        <v>0</v>
      </c>
      <c r="N25" s="1622">
        <v>0</v>
      </c>
      <c r="O25" s="1622">
        <v>0</v>
      </c>
      <c r="P25" s="1622">
        <v>0</v>
      </c>
      <c r="Q25" s="1623">
        <f>Q22*K40</f>
        <v>0</v>
      </c>
      <c r="R25" s="1279"/>
      <c r="S25" s="1279"/>
      <c r="T25" s="1279"/>
      <c r="U25" s="1279"/>
      <c r="V25" s="1279"/>
      <c r="W25" s="1279"/>
      <c r="X25" s="1279"/>
      <c r="Y25" s="1280"/>
      <c r="Z25" s="1277"/>
      <c r="AB25" s="1178"/>
      <c r="AC25" s="1179"/>
      <c r="AD25" s="1245"/>
      <c r="AE25" s="1177" t="s">
        <v>391</v>
      </c>
      <c r="AF25" s="1177" t="s">
        <v>391</v>
      </c>
      <c r="AG25" s="1177" t="s">
        <v>391</v>
      </c>
      <c r="AH25" s="1246" t="s">
        <v>391</v>
      </c>
      <c r="AI25" s="1225"/>
      <c r="AJ25" s="1179"/>
      <c r="AK25" s="1178"/>
    </row>
    <row r="26" spans="2:38" ht="15.75" thickBot="1" x14ac:dyDescent="0.3">
      <c r="B26" s="1274"/>
      <c r="C26" s="1286"/>
      <c r="D26" s="1237" t="s">
        <v>461</v>
      </c>
      <c r="E26" s="1199">
        <v>0.2</v>
      </c>
      <c r="F26" s="1199">
        <v>0.2</v>
      </c>
      <c r="G26" s="1199">
        <v>0.2</v>
      </c>
      <c r="H26" s="1199">
        <v>0.2</v>
      </c>
      <c r="I26" s="1200">
        <v>0.2</v>
      </c>
      <c r="J26" s="1279"/>
      <c r="K26" s="1279"/>
      <c r="L26" s="1279"/>
      <c r="M26" s="1279"/>
      <c r="N26" s="1279"/>
      <c r="O26" s="1279"/>
      <c r="P26" s="1279"/>
      <c r="Q26" s="1279"/>
      <c r="R26" s="1279"/>
      <c r="S26" s="2039" t="s">
        <v>489</v>
      </c>
      <c r="T26" s="2040"/>
      <c r="U26" s="2040"/>
      <c r="V26" s="2040"/>
      <c r="W26" s="2040"/>
      <c r="X26" s="2041"/>
      <c r="Y26" s="1280"/>
      <c r="Z26" s="1277"/>
      <c r="AB26" s="1178"/>
      <c r="AC26" s="1179"/>
      <c r="AD26" s="1187" t="s">
        <v>231</v>
      </c>
      <c r="AE26" s="1203">
        <f>'Vehicle Costs'!E34</f>
        <v>341008.75674057967</v>
      </c>
      <c r="AF26" s="1203">
        <f>'Vehicle Costs'!F34</f>
        <v>378937.67059000017</v>
      </c>
      <c r="AG26" s="1203">
        <f>'Vehicle Costs'!G34</f>
        <v>417184.94541137049</v>
      </c>
      <c r="AH26" s="1247">
        <f>'Vehicle Costs'!H34</f>
        <v>439074.52843704016</v>
      </c>
      <c r="AI26" s="1248">
        <v>13</v>
      </c>
      <c r="AJ26" s="1179"/>
      <c r="AK26" s="1178"/>
    </row>
    <row r="27" spans="2:38" ht="15.75" thickBot="1" x14ac:dyDescent="0.3">
      <c r="B27" s="1274"/>
      <c r="C27" s="1286"/>
      <c r="D27" s="1238" t="s">
        <v>457</v>
      </c>
      <c r="E27" s="1239">
        <f>E14+(E15*(1+$E$26))</f>
        <v>0</v>
      </c>
      <c r="F27" s="1239">
        <f>F14+(F15*(1+$E$26))</f>
        <v>0</v>
      </c>
      <c r="G27" s="1239">
        <f>G14+(G15*(1+$E$26))</f>
        <v>0</v>
      </c>
      <c r="H27" s="1239">
        <f>H14+(H15*(1+$E$26))</f>
        <v>0</v>
      </c>
      <c r="I27" s="1240">
        <f>I14+(I15*(1+$E$26))</f>
        <v>0</v>
      </c>
      <c r="J27" s="1279"/>
      <c r="K27" s="1279"/>
      <c r="L27" s="1279"/>
      <c r="M27" s="1279"/>
      <c r="N27" s="1279"/>
      <c r="O27" s="1279"/>
      <c r="P27" s="1279"/>
      <c r="Q27" s="1279"/>
      <c r="R27" s="1279"/>
      <c r="S27" s="1613" t="s">
        <v>455</v>
      </c>
      <c r="T27" s="1625"/>
      <c r="U27" s="1626"/>
      <c r="V27" s="1626"/>
      <c r="W27" s="1626"/>
      <c r="X27" s="1627"/>
      <c r="Y27" s="1280"/>
      <c r="Z27" s="1277"/>
      <c r="AB27" s="1178"/>
      <c r="AC27" s="1179"/>
      <c r="AD27" s="1187" t="s">
        <v>387</v>
      </c>
      <c r="AE27" s="1148">
        <f>'Vehicle Costs'!E35</f>
        <v>5.7038888496876439E-2</v>
      </c>
      <c r="AF27" s="1148">
        <f>'Vehicle Costs'!F35</f>
        <v>5.6997744774296429E-2</v>
      </c>
      <c r="AG27" s="1148">
        <f>'Vehicle Costs'!G35</f>
        <v>5.7881278438488011E-2</v>
      </c>
      <c r="AH27" s="1151">
        <f>'Vehicle Costs'!H35</f>
        <v>5.6816821493973789E-2</v>
      </c>
      <c r="AI27" s="1248"/>
      <c r="AJ27" s="1179"/>
      <c r="AK27" s="1178"/>
    </row>
    <row r="28" spans="2:38" ht="15.75" thickBot="1" x14ac:dyDescent="0.3">
      <c r="B28" s="1274"/>
      <c r="C28" s="1286"/>
      <c r="D28" s="1237" t="s">
        <v>458</v>
      </c>
      <c r="E28" s="1239">
        <f>E16+(E17*(1+$E$26))</f>
        <v>0</v>
      </c>
      <c r="F28" s="1239">
        <f>F16+(F17*(1+$E$26))</f>
        <v>0</v>
      </c>
      <c r="G28" s="1239">
        <f>G16+(G17*(1+$E$26))</f>
        <v>0</v>
      </c>
      <c r="H28" s="1239">
        <f>H16+(H17*(1+$E$26))</f>
        <v>0</v>
      </c>
      <c r="I28" s="1240">
        <f>I16+(I17*(1+$E$26))</f>
        <v>0</v>
      </c>
      <c r="J28" s="1279"/>
      <c r="K28" s="2045" t="s">
        <v>487</v>
      </c>
      <c r="L28" s="2046"/>
      <c r="M28" s="1279"/>
      <c r="N28" s="1279"/>
      <c r="O28" s="1279"/>
      <c r="P28" s="1279"/>
      <c r="Q28" s="1279"/>
      <c r="R28" s="1279"/>
      <c r="S28" s="1617" t="s">
        <v>456</v>
      </c>
      <c r="T28" s="1628"/>
      <c r="U28" s="1629"/>
      <c r="V28" s="1629"/>
      <c r="W28" s="1629"/>
      <c r="X28" s="1630"/>
      <c r="Y28" s="1280"/>
      <c r="Z28" s="1277"/>
      <c r="AB28" s="1178"/>
      <c r="AC28" s="1179"/>
      <c r="AD28" s="1187" t="s">
        <v>388</v>
      </c>
      <c r="AE28" s="1203">
        <f>'Vehicle Costs'!E38</f>
        <v>0</v>
      </c>
      <c r="AF28" s="1203">
        <f>'Vehicle Costs'!F38</f>
        <v>0</v>
      </c>
      <c r="AG28" s="1203">
        <f>'Vehicle Costs'!G38</f>
        <v>0</v>
      </c>
      <c r="AH28" s="1247">
        <f>'Vehicle Costs'!H38</f>
        <v>0</v>
      </c>
      <c r="AI28" s="1248">
        <v>10</v>
      </c>
      <c r="AJ28" s="1179"/>
      <c r="AK28" s="1178"/>
    </row>
    <row r="29" spans="2:38" ht="15.75" thickBot="1" x14ac:dyDescent="0.3">
      <c r="B29" s="1274"/>
      <c r="C29" s="1286"/>
      <c r="D29" s="1237" t="s">
        <v>490</v>
      </c>
      <c r="E29" s="1239">
        <f>E28+E27</f>
        <v>0</v>
      </c>
      <c r="F29" s="1239">
        <f>F28+F27</f>
        <v>0</v>
      </c>
      <c r="G29" s="1239">
        <f>G28+G27</f>
        <v>0</v>
      </c>
      <c r="H29" s="1239">
        <f>H28+H27</f>
        <v>0</v>
      </c>
      <c r="I29" s="1240">
        <f>I28+I27</f>
        <v>0</v>
      </c>
      <c r="J29" s="1279"/>
      <c r="K29" s="2035" t="s">
        <v>331</v>
      </c>
      <c r="L29" s="2036"/>
      <c r="M29" s="1279"/>
      <c r="N29" s="1279"/>
      <c r="O29" s="1279"/>
      <c r="P29" s="1279"/>
      <c r="Q29" s="1279"/>
      <c r="R29" s="1279"/>
      <c r="S29" s="1279"/>
      <c r="T29" s="1279"/>
      <c r="U29" s="1279"/>
      <c r="V29" s="1279"/>
      <c r="W29" s="1279"/>
      <c r="X29" s="1279"/>
      <c r="Y29" s="1280"/>
      <c r="Z29" s="1277"/>
      <c r="AB29" s="1178"/>
      <c r="AC29" s="1179"/>
      <c r="AD29" s="1187" t="s">
        <v>393</v>
      </c>
      <c r="AE29" s="55">
        <f>Results!AB54+Results!AB55</f>
        <v>0</v>
      </c>
      <c r="AF29" s="55">
        <f>Results!AC54+Results!AC55</f>
        <v>10090.543768165016</v>
      </c>
      <c r="AG29" s="55">
        <f>Results!AD54+Results!AD55</f>
        <v>11857.574337390073</v>
      </c>
      <c r="AH29" s="1251">
        <f>Results!AF54+Results!AF55</f>
        <v>10546.776902323305</v>
      </c>
      <c r="AI29" s="1252">
        <v>1</v>
      </c>
      <c r="AJ29" s="1179"/>
      <c r="AK29" s="1178"/>
    </row>
    <row r="30" spans="2:38" ht="15.75" thickBot="1" x14ac:dyDescent="0.3">
      <c r="B30" s="1274"/>
      <c r="C30" s="1286"/>
      <c r="D30" s="1237" t="s">
        <v>459</v>
      </c>
      <c r="E30" s="61">
        <f>SUM(E18:E19)</f>
        <v>0.40000726234567896</v>
      </c>
      <c r="F30" s="61">
        <f>SUM(F18:F19)</f>
        <v>0.72335007893933578</v>
      </c>
      <c r="G30" s="61">
        <f>SUM(G18:G19)</f>
        <v>0.84850149314023882</v>
      </c>
      <c r="H30" s="61">
        <f>SUM(H18:H19)</f>
        <v>0.86440502179942913</v>
      </c>
      <c r="I30" s="1188">
        <f>SUM(I18:I19)</f>
        <v>0.88030855045861955</v>
      </c>
      <c r="J30" s="1279"/>
      <c r="K30" s="1185">
        <v>11</v>
      </c>
      <c r="L30" s="1186" t="s">
        <v>243</v>
      </c>
      <c r="M30" s="1279"/>
      <c r="N30" s="1279"/>
      <c r="O30" s="1279"/>
      <c r="P30" s="1279"/>
      <c r="Q30" s="1279"/>
      <c r="R30" s="1279"/>
      <c r="S30" s="2039" t="s">
        <v>493</v>
      </c>
      <c r="T30" s="2040"/>
      <c r="U30" s="2040"/>
      <c r="V30" s="2040"/>
      <c r="W30" s="2040"/>
      <c r="X30" s="2041"/>
      <c r="Y30" s="1280"/>
      <c r="Z30" s="1277"/>
      <c r="AB30" s="1178"/>
      <c r="AC30" s="1179"/>
      <c r="AD30" s="1187" t="s">
        <v>364</v>
      </c>
      <c r="AE30" s="502"/>
      <c r="AF30" s="55">
        <f>-PV($AE$5,$AI30,AF29)</f>
        <v>197779.1113121761</v>
      </c>
      <c r="AG30" s="55">
        <f>-PV($AE$5,$AI30,AG29)</f>
        <v>232413.69034699199</v>
      </c>
      <c r="AH30" s="1251">
        <f>-PV($AE$5,$AI30,AH29)</f>
        <v>206721.48209993041</v>
      </c>
      <c r="AI30" s="1252">
        <v>30</v>
      </c>
      <c r="AJ30" s="1179"/>
      <c r="AK30" s="1178"/>
    </row>
    <row r="31" spans="2:38" ht="15.75" thickBot="1" x14ac:dyDescent="0.3">
      <c r="B31" s="1274"/>
      <c r="C31" s="1286"/>
      <c r="D31" s="1249" t="s">
        <v>460</v>
      </c>
      <c r="E31" s="1250">
        <f>E27*0.8172</f>
        <v>0</v>
      </c>
      <c r="F31" s="1250">
        <f>F27*0.8172</f>
        <v>0</v>
      </c>
      <c r="G31" s="1250">
        <f>G27*0.8172</f>
        <v>0</v>
      </c>
      <c r="H31" s="1250">
        <f>H27*0.8172</f>
        <v>0</v>
      </c>
      <c r="I31" s="1646">
        <f>I27*0.8172</f>
        <v>0</v>
      </c>
      <c r="J31" s="1279"/>
      <c r="K31" s="1193">
        <f>K30*0.73</f>
        <v>8.0299999999999994</v>
      </c>
      <c r="L31" s="1194" t="s">
        <v>244</v>
      </c>
      <c r="M31" s="1279"/>
      <c r="N31" s="1279"/>
      <c r="O31" s="1279"/>
      <c r="P31" s="1279"/>
      <c r="Q31" s="1279"/>
      <c r="R31" s="1279"/>
      <c r="S31" s="1167" t="s">
        <v>454</v>
      </c>
      <c r="T31" s="1596">
        <v>2010</v>
      </c>
      <c r="U31" s="1168">
        <v>2020</v>
      </c>
      <c r="V31" s="1168">
        <v>2030</v>
      </c>
      <c r="W31" s="1168">
        <v>2040</v>
      </c>
      <c r="X31" s="1169">
        <v>2050</v>
      </c>
      <c r="Y31" s="1280"/>
      <c r="Z31" s="1277"/>
      <c r="AB31" s="1178"/>
      <c r="AC31" s="1179"/>
      <c r="AD31" s="1195" t="s">
        <v>394</v>
      </c>
      <c r="AE31" s="55">
        <f>Results!AB56+Results!AB57</f>
        <v>0</v>
      </c>
      <c r="AF31" s="55">
        <f>Results!AC56+Results!AC57</f>
        <v>4790.2619299015078</v>
      </c>
      <c r="AG31" s="55">
        <f>Results!AD56+Results!AD57</f>
        <v>7865.0075177442559</v>
      </c>
      <c r="AH31" s="1251">
        <f>Results!AF56+Results!AF57</f>
        <v>9357.5902224796937</v>
      </c>
      <c r="AI31" s="1252">
        <v>1</v>
      </c>
      <c r="AJ31" s="1179"/>
      <c r="AK31" s="1178"/>
    </row>
    <row r="32" spans="2:38" ht="15.75" thickBot="1" x14ac:dyDescent="0.3">
      <c r="B32" s="1274"/>
      <c r="C32" s="1286"/>
      <c r="D32" s="1279"/>
      <c r="E32" s="1279"/>
      <c r="F32" s="1279"/>
      <c r="G32" s="1279"/>
      <c r="H32" s="1279"/>
      <c r="I32" s="1279"/>
      <c r="J32" s="1279"/>
      <c r="K32" s="2035" t="s">
        <v>234</v>
      </c>
      <c r="L32" s="2036"/>
      <c r="M32" s="1279"/>
      <c r="N32" s="1279"/>
      <c r="O32" s="1279"/>
      <c r="P32" s="1279"/>
      <c r="Q32" s="1279"/>
      <c r="R32" s="1279"/>
      <c r="S32" s="1632" t="s">
        <v>452</v>
      </c>
      <c r="T32" s="1633">
        <f>T9</f>
        <v>0.63700000000000001</v>
      </c>
      <c r="U32" s="1633">
        <f>U9</f>
        <v>0.63700000000000001</v>
      </c>
      <c r="V32" s="1633">
        <f>V9</f>
        <v>0.73</v>
      </c>
      <c r="W32" s="1633">
        <f>W9</f>
        <v>0.73</v>
      </c>
      <c r="X32" s="1634">
        <f>X9</f>
        <v>0.73</v>
      </c>
      <c r="Y32" s="1280"/>
      <c r="Z32" s="1277"/>
      <c r="AB32" s="1178"/>
      <c r="AC32" s="1179"/>
      <c r="AD32" s="1254" t="s">
        <v>365</v>
      </c>
      <c r="AE32" s="1643"/>
      <c r="AF32" s="389">
        <f>-PV($AE$5,$AI32,AF31)</f>
        <v>93891.248005632369</v>
      </c>
      <c r="AG32" s="389">
        <f>-PV($AE$5,$AI32,AG31)</f>
        <v>154157.61856468511</v>
      </c>
      <c r="AH32" s="1644">
        <f>-PV($AE$5,$AI32,AH31)</f>
        <v>183412.89832808499</v>
      </c>
      <c r="AI32" s="1645">
        <v>30</v>
      </c>
      <c r="AJ32" s="1179"/>
      <c r="AK32" s="1178"/>
    </row>
    <row r="33" spans="2:37" ht="15.75" thickBot="1" x14ac:dyDescent="0.3">
      <c r="B33" s="1274"/>
      <c r="C33" s="1286"/>
      <c r="D33" s="2045" t="s">
        <v>446</v>
      </c>
      <c r="E33" s="2046"/>
      <c r="F33" s="1279"/>
      <c r="G33" s="1279"/>
      <c r="H33" s="1279"/>
      <c r="I33" s="1279"/>
      <c r="J33" s="1279"/>
      <c r="K33" s="1185">
        <v>20</v>
      </c>
      <c r="L33" s="1186" t="s">
        <v>246</v>
      </c>
      <c r="M33" s="1279"/>
      <c r="N33" s="1279"/>
      <c r="O33" s="1279"/>
      <c r="P33" s="1279"/>
      <c r="Q33" s="1279"/>
      <c r="R33" s="1279"/>
      <c r="S33" s="1187" t="s">
        <v>455</v>
      </c>
      <c r="T33" s="1203">
        <f t="shared" ref="T33:W33" si="3">T13+T27</f>
        <v>0</v>
      </c>
      <c r="U33" s="1635">
        <f t="shared" si="3"/>
        <v>0</v>
      </c>
      <c r="V33" s="1635">
        <f t="shared" si="3"/>
        <v>0</v>
      </c>
      <c r="W33" s="1635">
        <f t="shared" si="3"/>
        <v>0</v>
      </c>
      <c r="X33" s="1636">
        <f>X13+X27</f>
        <v>0</v>
      </c>
      <c r="Y33" s="1280"/>
      <c r="Z33" s="1277"/>
      <c r="AB33" s="1178"/>
      <c r="AC33" s="1179"/>
      <c r="AD33" s="1195" t="s">
        <v>111</v>
      </c>
      <c r="AE33" s="55"/>
      <c r="AF33" s="55">
        <f>Results!AC58</f>
        <v>1158.2143610589721</v>
      </c>
      <c r="AG33" s="55">
        <f>Results!AD58</f>
        <v>1158.2143610589721</v>
      </c>
      <c r="AH33" s="1251">
        <f>Results!AF58</f>
        <v>1158.2143610589721</v>
      </c>
      <c r="AI33" s="1252">
        <v>1</v>
      </c>
      <c r="AJ33" s="1179"/>
      <c r="AK33" s="1178"/>
    </row>
    <row r="34" spans="2:37" ht="15.75" thickBot="1" x14ac:dyDescent="0.3">
      <c r="B34" s="1274"/>
      <c r="C34" s="1286"/>
      <c r="D34" s="1253" t="s">
        <v>435</v>
      </c>
      <c r="E34" s="1053">
        <f>1452/3778</f>
        <v>0.38433033350979356</v>
      </c>
      <c r="F34" s="1279"/>
      <c r="G34" s="1279"/>
      <c r="H34" s="1279"/>
      <c r="I34" s="1279"/>
      <c r="J34" s="1279"/>
      <c r="K34" s="1198">
        <v>8</v>
      </c>
      <c r="L34" s="1194" t="s">
        <v>247</v>
      </c>
      <c r="M34" s="1279"/>
      <c r="N34" s="1279"/>
      <c r="O34" s="1279"/>
      <c r="P34" s="1279"/>
      <c r="Q34" s="1279"/>
      <c r="R34" s="1279"/>
      <c r="S34" s="1209" t="s">
        <v>494</v>
      </c>
      <c r="T34" s="1210">
        <f t="shared" ref="T34:X34" si="4">T14+T24+T28</f>
        <v>0</v>
      </c>
      <c r="U34" s="1637">
        <f t="shared" si="4"/>
        <v>0</v>
      </c>
      <c r="V34" s="1637">
        <f t="shared" si="4"/>
        <v>0</v>
      </c>
      <c r="W34" s="1637">
        <f t="shared" si="4"/>
        <v>0</v>
      </c>
      <c r="X34" s="1638">
        <f t="shared" si="4"/>
        <v>0</v>
      </c>
      <c r="Y34" s="1280"/>
      <c r="Z34" s="1277"/>
      <c r="AB34" s="1178"/>
      <c r="AC34" s="1179"/>
      <c r="AD34" s="1639" t="s">
        <v>495</v>
      </c>
      <c r="AE34" s="1640">
        <f>AE31+AE29+AE33</f>
        <v>0</v>
      </c>
      <c r="AF34" s="1640">
        <f>AF31+AF29+AF33</f>
        <v>16039.020059125496</v>
      </c>
      <c r="AG34" s="1640">
        <f>AG31+AG29+AG33</f>
        <v>20880.796216193303</v>
      </c>
      <c r="AH34" s="1641">
        <f>AH31+AH29+AH33</f>
        <v>21062.581485861974</v>
      </c>
      <c r="AI34" s="1642">
        <f>(AI31+AI29+AI33)/3</f>
        <v>1</v>
      </c>
      <c r="AJ34" s="1179"/>
      <c r="AK34" s="1178"/>
    </row>
    <row r="35" spans="2:37" x14ac:dyDescent="0.25">
      <c r="B35" s="1274"/>
      <c r="C35" s="1286"/>
      <c r="D35" s="1198" t="s">
        <v>437</v>
      </c>
      <c r="E35" s="1053">
        <f>2823/3778</f>
        <v>0.74722075172048708</v>
      </c>
      <c r="F35" s="1279"/>
      <c r="G35" s="1279"/>
      <c r="H35" s="1279"/>
      <c r="I35" s="1279"/>
      <c r="J35" s="1279"/>
      <c r="K35" s="2035" t="s">
        <v>237</v>
      </c>
      <c r="L35" s="2036"/>
      <c r="M35" s="1279"/>
      <c r="N35" s="1279"/>
      <c r="O35" s="1279"/>
      <c r="P35" s="1279"/>
      <c r="Q35" s="1279"/>
      <c r="R35" s="1279"/>
      <c r="S35" s="1279"/>
      <c r="T35" s="1279"/>
      <c r="U35" s="1279"/>
      <c r="V35" s="1279"/>
      <c r="W35" s="1279"/>
      <c r="X35" s="1279"/>
      <c r="Y35" s="1280"/>
      <c r="Z35" s="1277"/>
      <c r="AB35" s="1178"/>
      <c r="AC35" s="1179"/>
      <c r="AD35" s="1179"/>
      <c r="AE35" s="1179"/>
      <c r="AF35" s="1179"/>
      <c r="AG35" s="1179"/>
      <c r="AH35" s="1179"/>
      <c r="AI35" s="1179"/>
      <c r="AJ35" s="1179"/>
      <c r="AK35" s="1178"/>
    </row>
    <row r="36" spans="2:37" ht="15.75" thickBot="1" x14ac:dyDescent="0.3">
      <c r="B36" s="1274"/>
      <c r="C36" s="1286"/>
      <c r="D36" s="1255" t="s">
        <v>433</v>
      </c>
      <c r="E36" s="1256">
        <f>SUM(E34:E35)</f>
        <v>1.1315510852302806</v>
      </c>
      <c r="F36" s="1279"/>
      <c r="G36" s="1279"/>
      <c r="H36" s="1279"/>
      <c r="I36" s="1279"/>
      <c r="J36" s="1279"/>
      <c r="K36" s="1208">
        <v>0.5</v>
      </c>
      <c r="L36" s="1194"/>
      <c r="M36" s="1279"/>
      <c r="N36" s="1279"/>
      <c r="O36" s="1279"/>
      <c r="P36" s="1279"/>
      <c r="Q36" s="1279"/>
      <c r="R36" s="1279"/>
      <c r="S36" s="1279"/>
      <c r="T36" s="1279"/>
      <c r="U36" s="1279"/>
      <c r="V36" s="1279"/>
      <c r="W36" s="1279"/>
      <c r="X36" s="1279"/>
      <c r="Y36" s="1280"/>
      <c r="Z36" s="1277"/>
      <c r="AB36" s="1178"/>
      <c r="AC36" s="1179"/>
      <c r="AD36" s="1179"/>
      <c r="AE36" s="1179"/>
      <c r="AF36" s="1179"/>
      <c r="AG36" s="1179"/>
      <c r="AH36" s="1179"/>
      <c r="AI36" s="1179"/>
      <c r="AJ36" s="1179"/>
      <c r="AK36" s="1178"/>
    </row>
    <row r="37" spans="2:37" ht="15.75" thickBot="1" x14ac:dyDescent="0.3">
      <c r="B37" s="1274"/>
      <c r="C37" s="1286"/>
      <c r="D37" s="1279"/>
      <c r="E37" s="1279"/>
      <c r="F37" s="1279"/>
      <c r="G37" s="1279"/>
      <c r="H37" s="1279"/>
      <c r="I37" s="1279"/>
      <c r="J37" s="1279"/>
      <c r="K37" s="2035" t="s">
        <v>233</v>
      </c>
      <c r="L37" s="2036"/>
      <c r="M37" s="1279"/>
      <c r="N37" s="1279"/>
      <c r="O37" s="1279"/>
      <c r="P37" s="1279"/>
      <c r="Q37" s="1279"/>
      <c r="R37" s="1279"/>
      <c r="S37" s="1279"/>
      <c r="T37" s="1279"/>
      <c r="U37" s="1279"/>
      <c r="V37" s="1279"/>
      <c r="W37" s="1279"/>
      <c r="X37" s="1279"/>
      <c r="Y37" s="1280"/>
      <c r="Z37" s="1277"/>
      <c r="AB37" s="1259"/>
      <c r="AC37" s="1566" t="s">
        <v>471</v>
      </c>
      <c r="AD37" s="1566"/>
      <c r="AE37" s="1566"/>
      <c r="AF37" s="1566"/>
      <c r="AG37" s="1566"/>
      <c r="AH37" s="1566"/>
      <c r="AI37" s="1566" t="s">
        <v>471</v>
      </c>
      <c r="AJ37" s="1566"/>
      <c r="AK37" s="1260"/>
    </row>
    <row r="38" spans="2:37" x14ac:dyDescent="0.25">
      <c r="B38" s="1274"/>
      <c r="C38" s="1286"/>
      <c r="D38" s="1257" t="s">
        <v>431</v>
      </c>
      <c r="E38" s="1258"/>
      <c r="F38" s="1279"/>
      <c r="G38" s="1279"/>
      <c r="H38" s="1279"/>
      <c r="I38" s="1279"/>
      <c r="J38" s="1279"/>
      <c r="K38" s="1185">
        <v>6</v>
      </c>
      <c r="L38" s="1186" t="s">
        <v>236</v>
      </c>
      <c r="M38" s="1279"/>
      <c r="N38" s="1279"/>
      <c r="O38" s="1279"/>
      <c r="P38" s="1279"/>
      <c r="Q38" s="1279"/>
      <c r="R38" s="1279"/>
      <c r="S38" s="1279"/>
      <c r="T38" s="1279"/>
      <c r="U38" s="1279"/>
      <c r="V38" s="1279"/>
      <c r="W38" s="1279"/>
      <c r="X38" s="1279"/>
      <c r="Y38" s="1280"/>
      <c r="Z38" s="1277"/>
    </row>
    <row r="39" spans="2:37" x14ac:dyDescent="0.25">
      <c r="B39" s="1274"/>
      <c r="C39" s="1286"/>
      <c r="D39" s="1253" t="s">
        <v>432</v>
      </c>
      <c r="E39" s="1146">
        <v>1.1531</v>
      </c>
      <c r="F39" s="1279"/>
      <c r="G39" s="1279"/>
      <c r="H39" s="1279"/>
      <c r="I39" s="1279"/>
      <c r="J39" s="1279"/>
      <c r="K39" s="2035" t="s">
        <v>444</v>
      </c>
      <c r="L39" s="2036"/>
      <c r="M39" s="1279"/>
      <c r="N39" s="1279"/>
      <c r="O39" s="1279"/>
      <c r="P39" s="1279"/>
      <c r="Q39" s="1279"/>
      <c r="R39" s="1279"/>
      <c r="S39" s="1279"/>
      <c r="T39" s="1279"/>
      <c r="U39" s="1279"/>
      <c r="V39" s="1279"/>
      <c r="W39" s="1279"/>
      <c r="X39" s="1279"/>
      <c r="Y39" s="1280"/>
      <c r="Z39" s="1277"/>
    </row>
    <row r="40" spans="2:37" x14ac:dyDescent="0.25">
      <c r="B40" s="1274"/>
      <c r="C40" s="1286"/>
      <c r="D40" s="1198" t="s">
        <v>436</v>
      </c>
      <c r="E40" s="1147">
        <f>0.073/1</f>
        <v>7.2999999999999995E-2</v>
      </c>
      <c r="F40" s="1279"/>
      <c r="G40" s="1279"/>
      <c r="H40" s="1279"/>
      <c r="I40" s="1279"/>
      <c r="J40" s="1279"/>
      <c r="K40" s="1208">
        <v>0.05</v>
      </c>
      <c r="L40" s="1194"/>
      <c r="M40" s="1279"/>
      <c r="N40" s="1279"/>
      <c r="O40" s="1279"/>
      <c r="P40" s="1279"/>
      <c r="Q40" s="1279"/>
      <c r="R40" s="1279"/>
      <c r="S40" s="1279"/>
      <c r="T40" s="1279"/>
      <c r="U40" s="1279"/>
      <c r="V40" s="1279"/>
      <c r="W40" s="1279"/>
      <c r="X40" s="1279"/>
      <c r="Y40" s="1280"/>
      <c r="Z40" s="1277"/>
    </row>
    <row r="41" spans="2:37" ht="15" customHeight="1" x14ac:dyDescent="0.25">
      <c r="B41" s="1274"/>
      <c r="C41" s="1286"/>
      <c r="D41" s="1261" t="s">
        <v>434</v>
      </c>
      <c r="E41" s="1186">
        <v>69900</v>
      </c>
      <c r="F41" s="1294"/>
      <c r="G41" s="1279"/>
      <c r="H41" s="1279"/>
      <c r="I41" s="1279"/>
      <c r="J41" s="1279"/>
      <c r="K41" s="2037" t="s">
        <v>249</v>
      </c>
      <c r="L41" s="2038"/>
      <c r="M41" s="1279"/>
      <c r="N41" s="1279"/>
      <c r="O41" s="1279"/>
      <c r="P41" s="1279"/>
      <c r="Q41" s="1279"/>
      <c r="R41" s="1279"/>
      <c r="S41" s="1279"/>
      <c r="T41" s="1279"/>
      <c r="U41" s="1279"/>
      <c r="V41" s="1279"/>
      <c r="W41" s="1279"/>
      <c r="X41" s="1279"/>
      <c r="Y41" s="1280"/>
      <c r="Z41" s="1277"/>
    </row>
    <row r="42" spans="2:37" ht="15.75" customHeight="1" thickBot="1" x14ac:dyDescent="0.3">
      <c r="B42" s="1274"/>
      <c r="C42" s="1286"/>
      <c r="D42" s="1262" t="s">
        <v>438</v>
      </c>
      <c r="E42" s="1263">
        <f>E41/3.6/1000000</f>
        <v>1.9416666666666669E-2</v>
      </c>
      <c r="F42" s="1294"/>
      <c r="G42" s="1279"/>
      <c r="H42" s="1279"/>
      <c r="I42" s="1279"/>
      <c r="J42" s="1279"/>
      <c r="K42" s="982">
        <v>1</v>
      </c>
      <c r="L42" s="1224" t="s">
        <v>250</v>
      </c>
      <c r="M42" s="1279"/>
      <c r="N42" s="1279"/>
      <c r="O42" s="1279"/>
      <c r="P42" s="1279"/>
      <c r="Q42" s="1279"/>
      <c r="R42" s="1279"/>
      <c r="S42" s="1279"/>
      <c r="T42" s="1279"/>
      <c r="U42" s="1279"/>
      <c r="V42" s="1279"/>
      <c r="W42" s="1279"/>
      <c r="X42" s="1279"/>
      <c r="Y42" s="1280"/>
      <c r="Z42" s="1277"/>
    </row>
    <row r="43" spans="2:37" ht="15.75" customHeight="1" x14ac:dyDescent="0.25">
      <c r="B43" s="1274"/>
      <c r="C43" s="1286"/>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80"/>
      <c r="Z43" s="1277"/>
    </row>
    <row r="44" spans="2:37" ht="15.75" thickBot="1" x14ac:dyDescent="0.3">
      <c r="B44" s="1274"/>
      <c r="C44" s="1295"/>
      <c r="D44" s="1281"/>
      <c r="E44" s="1281"/>
      <c r="F44" s="1281"/>
      <c r="G44" s="1281"/>
      <c r="H44" s="1281"/>
      <c r="I44" s="1281"/>
      <c r="J44" s="1281"/>
      <c r="K44" s="1281"/>
      <c r="L44" s="1281"/>
      <c r="M44" s="1281"/>
      <c r="N44" s="1281"/>
      <c r="O44" s="1281"/>
      <c r="P44" s="1281"/>
      <c r="Q44" s="1281"/>
      <c r="R44" s="1281"/>
      <c r="S44" s="1281"/>
      <c r="T44" s="1281"/>
      <c r="U44" s="1281"/>
      <c r="V44" s="1281"/>
      <c r="W44" s="1281"/>
      <c r="X44" s="1281"/>
      <c r="Y44" s="1282"/>
      <c r="Z44" s="1277"/>
    </row>
    <row r="45" spans="2:37" ht="16.5" customHeight="1" thickBot="1" x14ac:dyDescent="0.3">
      <c r="B45" s="1275"/>
      <c r="C45" s="1565" t="s">
        <v>472</v>
      </c>
      <c r="D45" s="1565"/>
      <c r="E45" s="1565"/>
      <c r="F45" s="1565"/>
      <c r="G45" s="1565"/>
      <c r="H45" s="1565"/>
      <c r="I45" s="1565"/>
      <c r="J45" s="1565"/>
      <c r="K45" s="1565"/>
      <c r="L45" s="1565"/>
      <c r="M45" s="1565"/>
      <c r="N45" s="1565"/>
      <c r="O45" s="1565"/>
      <c r="P45" s="1565"/>
      <c r="Q45" s="1565"/>
      <c r="R45" s="1565"/>
      <c r="S45" s="1565"/>
      <c r="T45" s="1565"/>
      <c r="U45" s="1565"/>
      <c r="V45" s="1565" t="s">
        <v>472</v>
      </c>
      <c r="W45" s="1565"/>
      <c r="X45" s="1565"/>
      <c r="Y45" s="1565"/>
      <c r="Z45" s="1278"/>
    </row>
    <row r="46" spans="2:37" ht="15" customHeight="1" x14ac:dyDescent="0.25">
      <c r="D46" s="1264"/>
    </row>
    <row r="47" spans="2:37" x14ac:dyDescent="0.25">
      <c r="T47" s="1271"/>
      <c r="U47" s="1271"/>
      <c r="V47" s="1271"/>
      <c r="W47" s="1271"/>
      <c r="X47" s="1271"/>
    </row>
    <row r="48" spans="2:37" x14ac:dyDescent="0.25">
      <c r="T48" s="1271"/>
      <c r="U48" s="1271"/>
      <c r="V48" s="1271"/>
      <c r="W48" s="1271"/>
      <c r="X48" s="1271"/>
    </row>
    <row r="49" spans="20:24" x14ac:dyDescent="0.25">
      <c r="T49" s="1271"/>
      <c r="U49" s="1271"/>
      <c r="V49" s="1271"/>
      <c r="W49" s="1271"/>
      <c r="X49" s="1271"/>
    </row>
    <row r="50" spans="20:24" x14ac:dyDescent="0.25">
      <c r="T50" s="1271"/>
      <c r="U50" s="1271"/>
      <c r="V50" s="1271"/>
      <c r="W50" s="1271"/>
      <c r="X50" s="1271"/>
    </row>
    <row r="51" spans="20:24" x14ac:dyDescent="0.25">
      <c r="T51" s="1271"/>
      <c r="U51" s="1271"/>
      <c r="V51" s="1271"/>
      <c r="W51" s="1271"/>
      <c r="X51" s="1271"/>
    </row>
    <row r="52" spans="20:24" x14ac:dyDescent="0.25">
      <c r="T52" s="1271"/>
      <c r="U52" s="1271"/>
      <c r="V52" s="1271"/>
      <c r="W52" s="1271"/>
      <c r="X52" s="1271"/>
    </row>
    <row r="53" spans="20:24" x14ac:dyDescent="0.25">
      <c r="T53" s="1271"/>
      <c r="U53" s="1271"/>
      <c r="V53" s="1271"/>
      <c r="W53" s="1271"/>
      <c r="X53" s="1271"/>
    </row>
    <row r="54" spans="20:24" x14ac:dyDescent="0.25">
      <c r="T54" s="1271"/>
      <c r="U54" s="1271"/>
      <c r="V54" s="1271"/>
      <c r="W54" s="1271"/>
      <c r="X54" s="1271"/>
    </row>
    <row r="55" spans="20:24" x14ac:dyDescent="0.25">
      <c r="T55" s="1271"/>
      <c r="U55" s="1271"/>
      <c r="V55" s="1271"/>
      <c r="W55" s="1271"/>
      <c r="X55" s="1271"/>
    </row>
    <row r="56" spans="20:24" x14ac:dyDescent="0.25">
      <c r="T56" s="1271"/>
      <c r="U56" s="1271"/>
      <c r="V56" s="1271"/>
      <c r="W56" s="1271"/>
      <c r="X56" s="1271"/>
    </row>
    <row r="57" spans="20:24" x14ac:dyDescent="0.25">
      <c r="T57" s="1271"/>
      <c r="U57" s="1271"/>
      <c r="V57" s="1271"/>
      <c r="W57" s="1271"/>
      <c r="X57" s="1271"/>
    </row>
    <row r="58" spans="20:24" x14ac:dyDescent="0.25">
      <c r="T58" s="1271"/>
      <c r="U58" s="1271"/>
      <c r="V58" s="1271"/>
      <c r="W58" s="1271"/>
      <c r="X58" s="1271"/>
    </row>
    <row r="59" spans="20:24" x14ac:dyDescent="0.25">
      <c r="T59" s="1271"/>
      <c r="U59" s="1271"/>
      <c r="V59" s="1271"/>
      <c r="W59" s="1271"/>
      <c r="X59" s="1271"/>
    </row>
    <row r="60" spans="20:24" x14ac:dyDescent="0.25">
      <c r="T60" s="1271"/>
      <c r="U60" s="1271"/>
      <c r="V60" s="1271"/>
      <c r="W60" s="1271"/>
      <c r="X60" s="1271"/>
    </row>
    <row r="61" spans="20:24" x14ac:dyDescent="0.25">
      <c r="T61" s="1271"/>
      <c r="U61" s="1271"/>
      <c r="V61" s="1271"/>
      <c r="W61" s="1271"/>
      <c r="X61" s="1271"/>
    </row>
    <row r="62" spans="20:24" x14ac:dyDescent="0.25">
      <c r="T62" s="1271"/>
      <c r="U62" s="1271"/>
      <c r="V62" s="1271"/>
      <c r="W62" s="1271"/>
      <c r="X62" s="1271"/>
    </row>
    <row r="63" spans="20:24" x14ac:dyDescent="0.25">
      <c r="T63" s="1271"/>
      <c r="U63" s="1271"/>
      <c r="V63" s="1271"/>
      <c r="W63" s="1271"/>
      <c r="X63" s="1271"/>
    </row>
    <row r="64" spans="20:24" x14ac:dyDescent="0.25">
      <c r="T64" s="1271"/>
      <c r="U64" s="1271"/>
      <c r="V64" s="1271"/>
      <c r="W64" s="1271"/>
      <c r="X64" s="1271"/>
    </row>
  </sheetData>
  <sheetProtection algorithmName="SHA-512" hashValue="q2+TA0LyBnY29FmTOKto+NUSWeeBmWYMomVKC6Ba+a0Xf28u45LYJkQnFzrF+70gz7iMIgdIzb0TcQ8Z9941iw==" saltValue="DBPGJDom0fjhRn0rN+ngNQ==" spinCount="100000" sheet="1" objects="1" scenarios="1" selectLockedCells="1" selectUnlockedCells="1"/>
  <mergeCells count="16">
    <mergeCell ref="D33:E33"/>
    <mergeCell ref="K32:L32"/>
    <mergeCell ref="K28:L28"/>
    <mergeCell ref="K29:L29"/>
    <mergeCell ref="K35:L35"/>
    <mergeCell ref="K37:L37"/>
    <mergeCell ref="K41:L41"/>
    <mergeCell ref="AD8:AI8"/>
    <mergeCell ref="S6:X6"/>
    <mergeCell ref="AD23:AI23"/>
    <mergeCell ref="AD22:AI22"/>
    <mergeCell ref="AD9:AI9"/>
    <mergeCell ref="K39:L39"/>
    <mergeCell ref="S16:X16"/>
    <mergeCell ref="S26:X26"/>
    <mergeCell ref="S30:X30"/>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208"/>
  <sheetViews>
    <sheetView zoomScale="70" zoomScaleNormal="70" workbookViewId="0"/>
  </sheetViews>
  <sheetFormatPr defaultRowHeight="15" x14ac:dyDescent="0.25"/>
  <cols>
    <col min="1" max="1" width="9.28515625" customWidth="1"/>
    <col min="2" max="2" width="20.5703125" bestFit="1" customWidth="1"/>
    <col min="3" max="3" width="41" customWidth="1"/>
    <col min="4" max="4" width="11.5703125" customWidth="1"/>
    <col min="5" max="5" width="15.28515625" bestFit="1" customWidth="1"/>
    <col min="6" max="6" width="18" customWidth="1"/>
    <col min="7" max="7" width="14.7109375" customWidth="1"/>
    <col min="8" max="8" width="16.7109375" customWidth="1"/>
    <col min="9" max="9" width="35.7109375" customWidth="1"/>
    <col min="10" max="10" width="33.140625" bestFit="1" customWidth="1"/>
    <col min="11" max="11" width="12.140625" customWidth="1"/>
    <col min="12" max="12" width="12.7109375" customWidth="1"/>
    <col min="13" max="13" width="12.85546875" customWidth="1"/>
    <col min="14" max="14" width="12.5703125" customWidth="1"/>
    <col min="16" max="16" width="38.85546875" customWidth="1"/>
  </cols>
  <sheetData>
    <row r="2" spans="2:14" ht="21" x14ac:dyDescent="0.35">
      <c r="C2" s="1389" t="s">
        <v>363</v>
      </c>
    </row>
    <row r="5" spans="2:14" x14ac:dyDescent="0.25">
      <c r="B5" s="1" t="s">
        <v>360</v>
      </c>
    </row>
    <row r="7" spans="2:14" x14ac:dyDescent="0.25">
      <c r="B7" s="1453"/>
      <c r="C7" s="1454" t="s">
        <v>349</v>
      </c>
      <c r="D7" s="1455"/>
      <c r="E7" s="1455"/>
      <c r="F7" s="1455"/>
      <c r="G7" s="1456"/>
      <c r="I7" s="1453"/>
      <c r="J7" s="1454" t="s">
        <v>352</v>
      </c>
      <c r="K7" s="1455"/>
      <c r="L7" s="1455"/>
      <c r="M7" s="1455"/>
      <c r="N7" s="1456"/>
    </row>
    <row r="9" spans="2:14" ht="15.75" thickBot="1" x14ac:dyDescent="0.3"/>
    <row r="10" spans="2:14" ht="15.75" thickBot="1" x14ac:dyDescent="0.3">
      <c r="C10" s="1396" t="s">
        <v>342</v>
      </c>
      <c r="D10" s="1397">
        <v>2010</v>
      </c>
      <c r="E10" s="264">
        <v>2020</v>
      </c>
      <c r="F10" s="264">
        <v>2030</v>
      </c>
      <c r="G10" s="265">
        <v>2050</v>
      </c>
      <c r="I10" s="956"/>
      <c r="J10" s="1396" t="s">
        <v>342</v>
      </c>
      <c r="K10" s="1397">
        <v>2010</v>
      </c>
      <c r="L10" s="264">
        <v>2020</v>
      </c>
      <c r="M10" s="264">
        <v>2030</v>
      </c>
      <c r="N10" s="265">
        <v>2050</v>
      </c>
    </row>
    <row r="11" spans="2:14" x14ac:dyDescent="0.25">
      <c r="B11" s="2047" t="s">
        <v>350</v>
      </c>
      <c r="C11" s="1383" t="s">
        <v>332</v>
      </c>
      <c r="D11" s="252">
        <f>'Scenarios technology'!F6</f>
        <v>4</v>
      </c>
      <c r="E11" s="252">
        <f>'Scenarios technology'!F146</f>
        <v>4</v>
      </c>
      <c r="F11" s="252">
        <f>'Scenarios technology'!F286</f>
        <v>4</v>
      </c>
      <c r="G11" s="253">
        <f>'Scenarios technology'!F426</f>
        <v>4</v>
      </c>
      <c r="I11" s="2047" t="s">
        <v>353</v>
      </c>
      <c r="J11" s="1383" t="s">
        <v>332</v>
      </c>
      <c r="K11" s="1390">
        <f>'Scenarios technology'!G6</f>
        <v>0.37543528321929193</v>
      </c>
      <c r="L11" s="1390">
        <f>'Scenarios technology'!G146</f>
        <v>0.374823490922637</v>
      </c>
      <c r="M11" s="1390">
        <f>'Scenarios technology'!G286</f>
        <v>0.3743012640322616</v>
      </c>
      <c r="N11" s="1391">
        <f>'Scenarios technology'!G426</f>
        <v>0.37449508243052765</v>
      </c>
    </row>
    <row r="12" spans="2:14" x14ac:dyDescent="0.25">
      <c r="B12" s="2048"/>
      <c r="C12" s="862" t="s">
        <v>333</v>
      </c>
      <c r="D12" s="157">
        <f>'Scenarios technology'!F17</f>
        <v>4</v>
      </c>
      <c r="E12" s="157">
        <f>'Scenarios technology'!F157</f>
        <v>4</v>
      </c>
      <c r="F12" s="157">
        <f>'Scenarios technology'!F297</f>
        <v>4</v>
      </c>
      <c r="G12" s="187">
        <f>'Scenarios technology'!F437</f>
        <v>4</v>
      </c>
      <c r="I12" s="2048"/>
      <c r="J12" s="862" t="s">
        <v>333</v>
      </c>
      <c r="K12" s="1392">
        <f>'Scenarios technology'!G17</f>
        <v>0.625</v>
      </c>
      <c r="L12" s="1392">
        <f>'Scenarios technology'!G157</f>
        <v>0.625</v>
      </c>
      <c r="M12" s="1392">
        <f>'Scenarios technology'!G297</f>
        <v>0.625</v>
      </c>
      <c r="N12" s="1393">
        <f>'Scenarios technology'!G437</f>
        <v>0.625</v>
      </c>
    </row>
    <row r="13" spans="2:14" x14ac:dyDescent="0.25">
      <c r="B13" s="2048"/>
      <c r="C13" s="862" t="s">
        <v>334</v>
      </c>
      <c r="D13" s="2">
        <f>'Scenarios technology'!F25</f>
        <v>210</v>
      </c>
      <c r="E13" s="2">
        <f>'Scenarios technology'!F165</f>
        <v>210</v>
      </c>
      <c r="F13" s="2">
        <f>'Scenarios technology'!F305</f>
        <v>210</v>
      </c>
      <c r="G13" s="140">
        <f>'Scenarios technology'!F445</f>
        <v>210</v>
      </c>
      <c r="I13" s="2048"/>
      <c r="J13" s="862" t="s">
        <v>334</v>
      </c>
      <c r="K13" s="1392">
        <f>'Scenarios technology'!G25</f>
        <v>0.4</v>
      </c>
      <c r="L13" s="1392">
        <f>'Scenarios technology'!G165</f>
        <v>0.4</v>
      </c>
      <c r="M13" s="1392">
        <f>'Scenarios technology'!G305</f>
        <v>0.4</v>
      </c>
      <c r="N13" s="1393">
        <f>'Scenarios technology'!G445</f>
        <v>0.4</v>
      </c>
    </row>
    <row r="14" spans="2:14" x14ac:dyDescent="0.25">
      <c r="B14" s="2048"/>
      <c r="C14" s="862" t="s">
        <v>335</v>
      </c>
      <c r="D14" s="2">
        <f>'Scenarios technology'!F28</f>
        <v>210</v>
      </c>
      <c r="E14" s="2">
        <f>'Scenarios technology'!F168</f>
        <v>210</v>
      </c>
      <c r="F14" s="2">
        <f>'Scenarios technology'!F308</f>
        <v>210</v>
      </c>
      <c r="G14" s="140">
        <f>'Scenarios technology'!F448</f>
        <v>210</v>
      </c>
      <c r="I14" s="2048"/>
      <c r="J14" s="862" t="s">
        <v>335</v>
      </c>
      <c r="K14" s="1392">
        <f>'Scenarios technology'!G28</f>
        <v>0.45</v>
      </c>
      <c r="L14" s="1392">
        <f>'Scenarios technology'!G168</f>
        <v>0.45</v>
      </c>
      <c r="M14" s="1392">
        <f>'Scenarios technology'!G308</f>
        <v>0.45</v>
      </c>
      <c r="N14" s="1393">
        <f>'Scenarios technology'!G448</f>
        <v>0.45</v>
      </c>
    </row>
    <row r="15" spans="2:14" x14ac:dyDescent="0.25">
      <c r="B15" s="2048"/>
      <c r="C15" s="862" t="s">
        <v>336</v>
      </c>
      <c r="D15" s="157">
        <f>'Scenarios technology'!F31</f>
        <v>49.499999999999993</v>
      </c>
      <c r="E15" s="157">
        <f>'Scenarios technology'!F171</f>
        <v>49.500000000000007</v>
      </c>
      <c r="F15" s="157">
        <f>'Scenarios technology'!F311</f>
        <v>49.499999999999993</v>
      </c>
      <c r="G15" s="187">
        <f>'Scenarios technology'!F451</f>
        <v>49.5</v>
      </c>
      <c r="I15" s="2048"/>
      <c r="J15" s="862" t="s">
        <v>336</v>
      </c>
      <c r="K15" s="1392">
        <f>'Scenarios technology'!G31</f>
        <v>0.26</v>
      </c>
      <c r="L15" s="1392">
        <f>'Scenarios technology'!G171</f>
        <v>0.26</v>
      </c>
      <c r="M15" s="1392">
        <f>'Scenarios technology'!G311</f>
        <v>0.26</v>
      </c>
      <c r="N15" s="1393">
        <f>'Scenarios technology'!G451</f>
        <v>0.26000000000000006</v>
      </c>
    </row>
    <row r="16" spans="2:14" x14ac:dyDescent="0.25">
      <c r="B16" s="2048"/>
      <c r="C16" s="862" t="s">
        <v>337</v>
      </c>
      <c r="D16" s="157">
        <f>'Scenarios technology'!F36</f>
        <v>50</v>
      </c>
      <c r="E16" s="157">
        <f>'Scenarios technology'!F176</f>
        <v>50</v>
      </c>
      <c r="F16" s="157">
        <f>'Scenarios technology'!F316</f>
        <v>50</v>
      </c>
      <c r="G16" s="187">
        <f>'Scenarios technology'!F456</f>
        <v>50</v>
      </c>
      <c r="I16" s="2048"/>
      <c r="J16" s="862" t="s">
        <v>337</v>
      </c>
      <c r="K16" s="1392">
        <f>'Scenarios technology'!G36</f>
        <v>0.7</v>
      </c>
      <c r="L16" s="1392">
        <f>'Scenarios technology'!G176</f>
        <v>0.7</v>
      </c>
      <c r="M16" s="1392">
        <f>'Scenarios technology'!G316</f>
        <v>0.7</v>
      </c>
      <c r="N16" s="1393">
        <f>'Scenarios technology'!G456</f>
        <v>0.7</v>
      </c>
    </row>
    <row r="17" spans="2:14" x14ac:dyDescent="0.25">
      <c r="B17" s="2048"/>
      <c r="C17" s="862" t="s">
        <v>9</v>
      </c>
      <c r="D17" s="157">
        <f>'Scenarios technology'!F41</f>
        <v>1</v>
      </c>
      <c r="E17" s="157">
        <f>'Scenarios technology'!F181</f>
        <v>1</v>
      </c>
      <c r="F17" s="157">
        <f>'Scenarios technology'!F321</f>
        <v>1</v>
      </c>
      <c r="G17" s="187">
        <f>'Scenarios technology'!F461</f>
        <v>1</v>
      </c>
      <c r="I17" s="2048"/>
      <c r="J17" s="862" t="s">
        <v>9</v>
      </c>
      <c r="K17" s="1392">
        <f>'Scenarios technology'!G41</f>
        <v>1</v>
      </c>
      <c r="L17" s="1392">
        <f>'Scenarios technology'!G181</f>
        <v>1</v>
      </c>
      <c r="M17" s="1392">
        <f>'Scenarios technology'!G321</f>
        <v>1</v>
      </c>
      <c r="N17" s="1393">
        <f>'Scenarios technology'!G461</f>
        <v>1</v>
      </c>
    </row>
    <row r="18" spans="2:14" x14ac:dyDescent="0.25">
      <c r="B18" s="2048"/>
      <c r="C18" s="862" t="s">
        <v>338</v>
      </c>
      <c r="D18" s="157">
        <f>'Scenarios technology'!F47</f>
        <v>90</v>
      </c>
      <c r="E18" s="157">
        <f>'Scenarios technology'!F187</f>
        <v>90</v>
      </c>
      <c r="F18" s="157">
        <f>'Scenarios technology'!F327</f>
        <v>90</v>
      </c>
      <c r="G18" s="187">
        <f>'Scenarios technology'!F467</f>
        <v>90</v>
      </c>
      <c r="I18" s="2048"/>
      <c r="J18" s="862" t="s">
        <v>338</v>
      </c>
      <c r="K18" s="1392">
        <f>'Scenarios technology'!G47</f>
        <v>0.6</v>
      </c>
      <c r="L18" s="1392">
        <f>'Scenarios technology'!G187</f>
        <v>0.6</v>
      </c>
      <c r="M18" s="1392">
        <f>'Scenarios technology'!G327</f>
        <v>0.6</v>
      </c>
      <c r="N18" s="1393">
        <f>'Scenarios technology'!G467</f>
        <v>0.6</v>
      </c>
    </row>
    <row r="19" spans="2:14" x14ac:dyDescent="0.25">
      <c r="B19" s="2048"/>
      <c r="C19" s="862" t="s">
        <v>339</v>
      </c>
      <c r="D19" s="157">
        <f>'Scenarios technology'!F48</f>
        <v>184</v>
      </c>
      <c r="E19" s="157">
        <f>'Scenarios technology'!F188</f>
        <v>184</v>
      </c>
      <c r="F19" s="157">
        <f>'Scenarios technology'!F328</f>
        <v>184</v>
      </c>
      <c r="G19" s="187">
        <f>'Scenarios technology'!F468</f>
        <v>184</v>
      </c>
      <c r="I19" s="2048"/>
      <c r="J19" s="862" t="s">
        <v>339</v>
      </c>
      <c r="K19" s="1392">
        <f>'Scenarios technology'!G48</f>
        <v>0.85</v>
      </c>
      <c r="L19" s="1392">
        <f>'Scenarios technology'!G188</f>
        <v>0.85</v>
      </c>
      <c r="M19" s="1392">
        <f>'Scenarios technology'!G328</f>
        <v>0.85</v>
      </c>
      <c r="N19" s="1393">
        <f>'Scenarios technology'!G468</f>
        <v>0.85</v>
      </c>
    </row>
    <row r="20" spans="2:14" x14ac:dyDescent="0.25">
      <c r="B20" s="2048"/>
      <c r="C20" s="862" t="s">
        <v>340</v>
      </c>
      <c r="D20" s="157">
        <f>'Scenarios technology'!F52</f>
        <v>570</v>
      </c>
      <c r="E20" s="157">
        <f>'Scenarios technology'!F192</f>
        <v>570</v>
      </c>
      <c r="F20" s="157">
        <f>'Scenarios technology'!F332</f>
        <v>570</v>
      </c>
      <c r="G20" s="187">
        <f>'Scenarios technology'!F472</f>
        <v>570</v>
      </c>
      <c r="I20" s="2048"/>
      <c r="J20" s="862" t="s">
        <v>340</v>
      </c>
      <c r="K20" s="1392">
        <f>'Scenarios technology'!G52</f>
        <v>0.35</v>
      </c>
      <c r="L20" s="1392">
        <f>'Scenarios technology'!G192</f>
        <v>0.35</v>
      </c>
      <c r="M20" s="1392">
        <f>'Scenarios technology'!G332</f>
        <v>0.35</v>
      </c>
      <c r="N20" s="1393">
        <f>'Scenarios technology'!G472</f>
        <v>0.35</v>
      </c>
    </row>
    <row r="21" spans="2:14" ht="15.75" thickBot="1" x14ac:dyDescent="0.3">
      <c r="B21" s="2049"/>
      <c r="C21" s="1384" t="s">
        <v>341</v>
      </c>
      <c r="D21" s="158">
        <f>'Scenarios technology'!F53</f>
        <v>1900</v>
      </c>
      <c r="E21" s="158">
        <f>'Scenarios technology'!F193</f>
        <v>1900</v>
      </c>
      <c r="F21" s="158">
        <f>'Scenarios technology'!F333</f>
        <v>1900</v>
      </c>
      <c r="G21" s="255">
        <f>'Scenarios technology'!F473</f>
        <v>1900</v>
      </c>
      <c r="I21" s="2049"/>
      <c r="J21" s="1384" t="s">
        <v>341</v>
      </c>
      <c r="K21" s="1394">
        <f>'Scenarios technology'!G53</f>
        <v>0.45</v>
      </c>
      <c r="L21" s="1394">
        <f>'Scenarios technology'!G193</f>
        <v>0.45</v>
      </c>
      <c r="M21" s="1394">
        <f>'Scenarios technology'!G333</f>
        <v>0.45</v>
      </c>
      <c r="N21" s="1395">
        <f>'Scenarios technology'!G473</f>
        <v>0.45</v>
      </c>
    </row>
    <row r="22" spans="2:14" x14ac:dyDescent="0.25">
      <c r="B22" s="2050" t="s">
        <v>351</v>
      </c>
      <c r="C22" s="1385" t="s">
        <v>345</v>
      </c>
      <c r="D22" s="252">
        <f>'Scenarios technology'!F61</f>
        <v>20</v>
      </c>
      <c r="E22" s="252">
        <f>'Scenarios technology'!F201</f>
        <v>20</v>
      </c>
      <c r="F22" s="252">
        <f>'Scenarios technology'!F341</f>
        <v>19.999999999999996</v>
      </c>
      <c r="G22" s="253">
        <f>'Scenarios technology'!F481</f>
        <v>20</v>
      </c>
      <c r="I22" s="2050" t="s">
        <v>354</v>
      </c>
      <c r="J22" s="1385" t="s">
        <v>345</v>
      </c>
      <c r="K22" s="1390">
        <f>'Scenarios technology'!G61</f>
        <v>0.42165004898065372</v>
      </c>
      <c r="L22" s="1390">
        <f>'Scenarios technology'!G201</f>
        <v>0.42288686515000629</v>
      </c>
      <c r="M22" s="1390">
        <f>'Scenarios technology'!G341</f>
        <v>0.42398928565479066</v>
      </c>
      <c r="N22" s="1391">
        <f>'Scenarios technology'!G481</f>
        <v>0.42498352533443173</v>
      </c>
    </row>
    <row r="23" spans="2:14" x14ac:dyDescent="0.25">
      <c r="B23" s="2051"/>
      <c r="C23" s="863" t="s">
        <v>346</v>
      </c>
      <c r="D23" s="2">
        <f>'Scenarios technology'!F73</f>
        <v>30</v>
      </c>
      <c r="E23" s="2">
        <f>'Scenarios technology'!F213</f>
        <v>30</v>
      </c>
      <c r="F23" s="2">
        <f>'Scenarios technology'!F353</f>
        <v>30</v>
      </c>
      <c r="G23" s="140">
        <f>'Scenarios technology'!F493</f>
        <v>30.000000000000004</v>
      </c>
      <c r="I23" s="2051"/>
      <c r="J23" s="863" t="s">
        <v>346</v>
      </c>
      <c r="K23" s="1392">
        <f>'Scenarios technology'!G73</f>
        <v>0.51906304980557316</v>
      </c>
      <c r="L23" s="1392">
        <f>'Scenarios technology'!G213</f>
        <v>0.52729301514115456</v>
      </c>
      <c r="M23" s="1392">
        <f>'Scenarios technology'!G353</f>
        <v>0.53587834051137251</v>
      </c>
      <c r="N23" s="1393">
        <f>'Scenarios technology'!G493</f>
        <v>0.54427793044376183</v>
      </c>
    </row>
    <row r="24" spans="2:14" x14ac:dyDescent="0.25">
      <c r="B24" s="2051"/>
      <c r="C24" s="863" t="s">
        <v>18</v>
      </c>
      <c r="D24" s="2">
        <f>'Scenarios technology'!F85</f>
        <v>1</v>
      </c>
      <c r="E24" s="2">
        <f>'Scenarios technology'!F225</f>
        <v>1</v>
      </c>
      <c r="F24" s="2">
        <f>'Scenarios technology'!F365</f>
        <v>1</v>
      </c>
      <c r="G24" s="140">
        <f>'Scenarios technology'!F505</f>
        <v>1</v>
      </c>
      <c r="I24" s="2051"/>
      <c r="J24" s="863" t="s">
        <v>18</v>
      </c>
      <c r="K24" s="1392">
        <f>'Scenarios technology'!G85</f>
        <v>0.47999999999999993</v>
      </c>
      <c r="L24" s="1392">
        <f>'Scenarios technology'!G225</f>
        <v>0.48</v>
      </c>
      <c r="M24" s="1392">
        <f>'Scenarios technology'!G365</f>
        <v>0.48</v>
      </c>
      <c r="N24" s="1393">
        <f>'Scenarios technology'!G505</f>
        <v>0.48</v>
      </c>
    </row>
    <row r="25" spans="2:14" x14ac:dyDescent="0.25">
      <c r="B25" s="2051"/>
      <c r="C25" s="863" t="s">
        <v>334</v>
      </c>
      <c r="D25" s="157">
        <f>'Scenarios technology'!F103</f>
        <v>750</v>
      </c>
      <c r="E25" s="157">
        <f>'Scenarios technology'!F243</f>
        <v>749.99999999999989</v>
      </c>
      <c r="F25" s="157">
        <f>'Scenarios technology'!F383</f>
        <v>750</v>
      </c>
      <c r="G25" s="187">
        <f>'Scenarios technology'!F523</f>
        <v>750</v>
      </c>
      <c r="I25" s="2051"/>
      <c r="J25" s="863" t="s">
        <v>334</v>
      </c>
      <c r="K25" s="1392">
        <f>'Scenarios technology'!G103</f>
        <v>0.37</v>
      </c>
      <c r="L25" s="1392">
        <f>'Scenarios technology'!G243</f>
        <v>0.37</v>
      </c>
      <c r="M25" s="1392">
        <f>'Scenarios technology'!G383</f>
        <v>0.37</v>
      </c>
      <c r="N25" s="1393">
        <f>'Scenarios technology'!G523</f>
        <v>0.37</v>
      </c>
    </row>
    <row r="26" spans="2:14" x14ac:dyDescent="0.25">
      <c r="B26" s="2051"/>
      <c r="C26" s="863" t="s">
        <v>335</v>
      </c>
      <c r="D26" s="157">
        <f>'Scenarios technology'!F109</f>
        <v>1000</v>
      </c>
      <c r="E26" s="157">
        <f>'Scenarios technology'!F249</f>
        <v>1000</v>
      </c>
      <c r="F26" s="157">
        <f>'Scenarios technology'!F389</f>
        <v>1000</v>
      </c>
      <c r="G26" s="187">
        <f>'Scenarios technology'!F529</f>
        <v>1000</v>
      </c>
      <c r="I26" s="2051"/>
      <c r="J26" s="863" t="s">
        <v>335</v>
      </c>
      <c r="K26" s="1392">
        <f>'Scenarios technology'!G109</f>
        <v>0.37</v>
      </c>
      <c r="L26" s="1392">
        <f>'Scenarios technology'!G249</f>
        <v>0.37</v>
      </c>
      <c r="M26" s="1392">
        <f>'Scenarios technology'!G389</f>
        <v>0.37</v>
      </c>
      <c r="N26" s="1393">
        <f>'Scenarios technology'!G529</f>
        <v>0.37</v>
      </c>
    </row>
    <row r="27" spans="2:14" x14ac:dyDescent="0.25">
      <c r="B27" s="2051"/>
      <c r="C27" s="863" t="s">
        <v>338</v>
      </c>
      <c r="D27" s="157">
        <f>'Scenarios technology'!F115</f>
        <v>25</v>
      </c>
      <c r="E27" s="157">
        <f>'Scenarios technology'!F255</f>
        <v>25</v>
      </c>
      <c r="F27" s="157">
        <f>'Scenarios technology'!F395</f>
        <v>25</v>
      </c>
      <c r="G27" s="187">
        <f>'Scenarios technology'!F535</f>
        <v>25</v>
      </c>
      <c r="I27" s="2051"/>
      <c r="J27" s="863" t="s">
        <v>338</v>
      </c>
      <c r="K27" s="1392">
        <f>'Scenarios technology'!G115</f>
        <v>0.6</v>
      </c>
      <c r="L27" s="1392">
        <f>'Scenarios technology'!G255</f>
        <v>0.6</v>
      </c>
      <c r="M27" s="1392">
        <f>'Scenarios technology'!G395</f>
        <v>0.6</v>
      </c>
      <c r="N27" s="1393">
        <f>'Scenarios technology'!G535</f>
        <v>0.6</v>
      </c>
    </row>
    <row r="28" spans="2:14" x14ac:dyDescent="0.25">
      <c r="B28" s="2051"/>
      <c r="C28" s="863" t="s">
        <v>339</v>
      </c>
      <c r="D28" s="157">
        <f>'Scenarios technology'!F119</f>
        <v>50</v>
      </c>
      <c r="E28" s="157">
        <f>'Scenarios technology'!F259</f>
        <v>50</v>
      </c>
      <c r="F28" s="157">
        <f>'Scenarios technology'!F399</f>
        <v>50</v>
      </c>
      <c r="G28" s="187">
        <f>'Scenarios technology'!F539</f>
        <v>50</v>
      </c>
      <c r="I28" s="2051"/>
      <c r="J28" s="863" t="s">
        <v>339</v>
      </c>
      <c r="K28" s="1392">
        <f>'Scenarios technology'!G119</f>
        <v>0.6</v>
      </c>
      <c r="L28" s="1392">
        <f>'Scenarios technology'!G259</f>
        <v>0.6</v>
      </c>
      <c r="M28" s="1392">
        <f>'Scenarios technology'!G399</f>
        <v>0.6</v>
      </c>
      <c r="N28" s="1393">
        <f>'Scenarios technology'!G539</f>
        <v>0.6</v>
      </c>
    </row>
    <row r="29" spans="2:14" x14ac:dyDescent="0.25">
      <c r="B29" s="2051"/>
      <c r="C29" s="863" t="s">
        <v>340</v>
      </c>
      <c r="D29" s="157">
        <f>'Scenarios technology'!F123</f>
        <v>20000</v>
      </c>
      <c r="E29" s="157">
        <f>'Scenarios technology'!F263</f>
        <v>20000</v>
      </c>
      <c r="F29" s="157">
        <f>'Scenarios technology'!F403</f>
        <v>20000</v>
      </c>
      <c r="G29" s="187">
        <f>'Scenarios technology'!F543</f>
        <v>20000</v>
      </c>
      <c r="I29" s="2051"/>
      <c r="J29" s="863" t="s">
        <v>340</v>
      </c>
      <c r="K29" s="1392">
        <f>'Scenarios technology'!G123</f>
        <v>0.6</v>
      </c>
      <c r="L29" s="1392">
        <f>'Scenarios technology'!G263</f>
        <v>0.6</v>
      </c>
      <c r="M29" s="1392">
        <f>'Scenarios technology'!G403</f>
        <v>0.6</v>
      </c>
      <c r="N29" s="1393">
        <f>'Scenarios technology'!G543</f>
        <v>0.6</v>
      </c>
    </row>
    <row r="30" spans="2:14" ht="15.75" thickBot="1" x14ac:dyDescent="0.3">
      <c r="B30" s="2052"/>
      <c r="C30" s="1386" t="s">
        <v>341</v>
      </c>
      <c r="D30" s="158">
        <f>'Scenarios technology'!F128</f>
        <v>75000</v>
      </c>
      <c r="E30" s="158">
        <f>'Scenarios technology'!F268</f>
        <v>75000</v>
      </c>
      <c r="F30" s="158">
        <f>'Scenarios technology'!F408</f>
        <v>75000</v>
      </c>
      <c r="G30" s="255">
        <f>'Scenarios technology'!F548</f>
        <v>75000</v>
      </c>
      <c r="I30" s="2052"/>
      <c r="J30" s="1386" t="s">
        <v>341</v>
      </c>
      <c r="K30" s="1394">
        <f>'Scenarios technology'!G128</f>
        <v>0.7</v>
      </c>
      <c r="L30" s="1394">
        <f>'Scenarios technology'!G268</f>
        <v>0.7</v>
      </c>
      <c r="M30" s="1394">
        <f>'Scenarios technology'!G408</f>
        <v>0.7</v>
      </c>
      <c r="N30" s="1395">
        <f>'Scenarios technology'!G548</f>
        <v>0.7</v>
      </c>
    </row>
    <row r="32" spans="2:14" x14ac:dyDescent="0.25">
      <c r="I32" s="2"/>
    </row>
    <row r="33" spans="2:14" x14ac:dyDescent="0.25">
      <c r="B33" s="1457"/>
      <c r="C33" s="1458" t="s">
        <v>355</v>
      </c>
      <c r="D33" s="1454"/>
      <c r="E33" s="1454"/>
      <c r="F33" s="1454"/>
      <c r="G33" s="1459"/>
      <c r="I33" s="1460"/>
      <c r="J33" s="1461" t="s">
        <v>361</v>
      </c>
      <c r="K33" s="1462"/>
      <c r="L33" s="1462"/>
      <c r="M33" s="1462"/>
      <c r="N33" s="1463"/>
    </row>
    <row r="34" spans="2:14" ht="15.75" thickBot="1" x14ac:dyDescent="0.3">
      <c r="J34" s="2"/>
    </row>
    <row r="35" spans="2:14" ht="15.75" thickBot="1" x14ac:dyDescent="0.3">
      <c r="B35" s="73"/>
      <c r="C35" s="1396" t="s">
        <v>342</v>
      </c>
      <c r="D35" s="1397">
        <v>2010</v>
      </c>
      <c r="E35" s="264">
        <v>2020</v>
      </c>
      <c r="F35" s="264">
        <v>2030</v>
      </c>
      <c r="G35" s="265">
        <v>2050</v>
      </c>
      <c r="J35" s="1422" t="s">
        <v>342</v>
      </c>
      <c r="K35" s="1423">
        <v>2010</v>
      </c>
      <c r="L35" s="1424">
        <v>2020</v>
      </c>
      <c r="M35" s="1424">
        <v>2030</v>
      </c>
      <c r="N35" s="1425">
        <v>2050</v>
      </c>
    </row>
    <row r="36" spans="2:14" x14ac:dyDescent="0.25">
      <c r="B36" s="2047" t="s">
        <v>353</v>
      </c>
      <c r="C36" s="1383" t="s">
        <v>332</v>
      </c>
      <c r="D36" s="1398">
        <f>'Scenarios technology'!L6</f>
        <v>2.6573510804762321</v>
      </c>
      <c r="E36" s="1398">
        <f>'Scenarios technology'!L146</f>
        <v>2.2621910246704564</v>
      </c>
      <c r="F36" s="1398">
        <f>'Scenarios technology'!L286</f>
        <v>1.9291955428766012</v>
      </c>
      <c r="G36" s="1399">
        <f>'Scenarios technology'!L426</f>
        <v>1.7635920557338147</v>
      </c>
      <c r="I36" s="2047" t="s">
        <v>353</v>
      </c>
      <c r="J36" s="149" t="s">
        <v>332</v>
      </c>
      <c r="K36" s="191">
        <f t="shared" ref="K36:K55" si="0">D36/D11</f>
        <v>0.66433777011905804</v>
      </c>
      <c r="L36" s="192">
        <f t="shared" ref="L36:L55" si="1">E36/E11</f>
        <v>0.5655477561676141</v>
      </c>
      <c r="M36" s="192">
        <f t="shared" ref="M36:M55" si="2">F36/F11</f>
        <v>0.48229888571915031</v>
      </c>
      <c r="N36" s="193">
        <f t="shared" ref="N36:N55" si="3">G36/G11</f>
        <v>0.44089801393345368</v>
      </c>
    </row>
    <row r="37" spans="2:14" x14ac:dyDescent="0.25">
      <c r="B37" s="2048"/>
      <c r="C37" s="862" t="s">
        <v>333</v>
      </c>
      <c r="D37" s="1400">
        <f>'Scenarios technology'!L17</f>
        <v>1.75</v>
      </c>
      <c r="E37" s="1400">
        <f>'Scenarios technology'!L157</f>
        <v>1.5121829423286366</v>
      </c>
      <c r="F37" s="1400">
        <f>'Scenarios technology'!L297</f>
        <v>1.3066841434683958</v>
      </c>
      <c r="G37" s="1401">
        <f>'Scenarios technology'!L437</f>
        <v>1.2060279962791962</v>
      </c>
      <c r="I37" s="2048"/>
      <c r="J37" s="149" t="s">
        <v>333</v>
      </c>
      <c r="K37" s="191">
        <f t="shared" si="0"/>
        <v>0.4375</v>
      </c>
      <c r="L37" s="192">
        <f t="shared" si="1"/>
        <v>0.37804573558215915</v>
      </c>
      <c r="M37" s="192">
        <f t="shared" si="2"/>
        <v>0.32667103586709895</v>
      </c>
      <c r="N37" s="193">
        <f t="shared" si="3"/>
        <v>0.30150699906979905</v>
      </c>
    </row>
    <row r="38" spans="2:14" x14ac:dyDescent="0.25">
      <c r="B38" s="2048"/>
      <c r="C38" s="862" t="s">
        <v>334</v>
      </c>
      <c r="D38" s="1400">
        <f>'Scenarios technology'!L25</f>
        <v>48.196799999999996</v>
      </c>
      <c r="E38" s="1400">
        <f>'Scenarios technology'!L165</f>
        <v>30.204000000000001</v>
      </c>
      <c r="F38" s="1400">
        <f>'Scenarios technology'!L305</f>
        <v>28.440000000000005</v>
      </c>
      <c r="G38" s="1401">
        <f>'Scenarios technology'!L445</f>
        <v>28.44</v>
      </c>
      <c r="I38" s="2048"/>
      <c r="J38" s="149" t="s">
        <v>334</v>
      </c>
      <c r="K38" s="191">
        <f t="shared" si="0"/>
        <v>0.22950857142857142</v>
      </c>
      <c r="L38" s="192">
        <f t="shared" si="1"/>
        <v>0.14382857142857144</v>
      </c>
      <c r="M38" s="192">
        <f t="shared" si="2"/>
        <v>0.13542857142857145</v>
      </c>
      <c r="N38" s="193">
        <f t="shared" si="3"/>
        <v>0.13542857142857143</v>
      </c>
    </row>
    <row r="39" spans="2:14" x14ac:dyDescent="0.25">
      <c r="B39" s="2048"/>
      <c r="C39" s="862" t="s">
        <v>335</v>
      </c>
      <c r="D39" s="1400">
        <f>'Scenarios technology'!L28</f>
        <v>32</v>
      </c>
      <c r="E39" s="1400">
        <f>'Scenarios technology'!L168</f>
        <v>32</v>
      </c>
      <c r="F39" s="1400">
        <f>'Scenarios technology'!L308</f>
        <v>32</v>
      </c>
      <c r="G39" s="1401">
        <f>'Scenarios technology'!L448</f>
        <v>32</v>
      </c>
      <c r="I39" s="2048"/>
      <c r="J39" s="149" t="s">
        <v>335</v>
      </c>
      <c r="K39" s="191">
        <f t="shared" si="0"/>
        <v>0.15238095238095239</v>
      </c>
      <c r="L39" s="192">
        <f t="shared" si="1"/>
        <v>0.15238095238095239</v>
      </c>
      <c r="M39" s="192">
        <f t="shared" si="2"/>
        <v>0.15238095238095239</v>
      </c>
      <c r="N39" s="193">
        <f t="shared" si="3"/>
        <v>0.15238095238095239</v>
      </c>
    </row>
    <row r="40" spans="2:14" x14ac:dyDescent="0.25">
      <c r="B40" s="2048"/>
      <c r="C40" s="862" t="s">
        <v>336</v>
      </c>
      <c r="D40" s="1400">
        <f>'Scenarios technology'!L31</f>
        <v>13.972009099205458</v>
      </c>
      <c r="E40" s="1400">
        <f>'Scenarios technology'!L171</f>
        <v>12.971839556253407</v>
      </c>
      <c r="F40" s="1400">
        <f>'Scenarios technology'!L311</f>
        <v>11.731499174565737</v>
      </c>
      <c r="G40" s="1401">
        <f>'Scenarios technology'!L451</f>
        <v>10.827801434321735</v>
      </c>
      <c r="I40" s="2048"/>
      <c r="J40" s="149" t="s">
        <v>336</v>
      </c>
      <c r="K40" s="191">
        <f t="shared" si="0"/>
        <v>0.28226281008495879</v>
      </c>
      <c r="L40" s="192">
        <f t="shared" si="1"/>
        <v>0.26205736477279606</v>
      </c>
      <c r="M40" s="192">
        <f t="shared" si="2"/>
        <v>0.23699998332456038</v>
      </c>
      <c r="N40" s="193">
        <f t="shared" si="3"/>
        <v>0.21874346331963102</v>
      </c>
    </row>
    <row r="41" spans="2:14" x14ac:dyDescent="0.25">
      <c r="B41" s="2048"/>
      <c r="C41" s="862" t="s">
        <v>337</v>
      </c>
      <c r="D41" s="1400">
        <f>'Scenarios technology'!L36</f>
        <v>20.555</v>
      </c>
      <c r="E41" s="1400">
        <f>'Scenarios technology'!L176</f>
        <v>19.083594935101456</v>
      </c>
      <c r="F41" s="1400">
        <f>'Scenarios technology'!L316</f>
        <v>17.258861186034562</v>
      </c>
      <c r="G41" s="1401">
        <f>'Scenarios technology'!L456</f>
        <v>15.929381157870832</v>
      </c>
      <c r="I41" s="2048"/>
      <c r="J41" s="149" t="s">
        <v>337</v>
      </c>
      <c r="K41" s="191">
        <f t="shared" si="0"/>
        <v>0.41110000000000002</v>
      </c>
      <c r="L41" s="192">
        <f t="shared" si="1"/>
        <v>0.38167189870202911</v>
      </c>
      <c r="M41" s="192">
        <f t="shared" si="2"/>
        <v>0.34517722372069121</v>
      </c>
      <c r="N41" s="193">
        <f t="shared" si="3"/>
        <v>0.31858762315741662</v>
      </c>
    </row>
    <row r="42" spans="2:14" x14ac:dyDescent="0.25">
      <c r="B42" s="2048"/>
      <c r="C42" s="862" t="s">
        <v>9</v>
      </c>
      <c r="D42" s="1400">
        <f>'Scenarios technology'!L41</f>
        <v>0</v>
      </c>
      <c r="E42" s="1400">
        <f>'Scenarios technology'!L181</f>
        <v>0</v>
      </c>
      <c r="F42" s="1400">
        <f>'Scenarios technology'!L321</f>
        <v>0</v>
      </c>
      <c r="G42" s="1401">
        <f>'Scenarios technology'!L461</f>
        <v>0</v>
      </c>
      <c r="I42" s="2048"/>
      <c r="J42" s="149" t="s">
        <v>9</v>
      </c>
      <c r="K42" s="191">
        <f t="shared" si="0"/>
        <v>0</v>
      </c>
      <c r="L42" s="192">
        <f t="shared" si="1"/>
        <v>0</v>
      </c>
      <c r="M42" s="192">
        <f t="shared" si="2"/>
        <v>0</v>
      </c>
      <c r="N42" s="193">
        <f t="shared" si="3"/>
        <v>0</v>
      </c>
    </row>
    <row r="43" spans="2:14" x14ac:dyDescent="0.25">
      <c r="B43" s="2048"/>
      <c r="C43" s="862" t="s">
        <v>338</v>
      </c>
      <c r="D43" s="1400">
        <f>'Scenarios technology'!L47</f>
        <v>186.19</v>
      </c>
      <c r="E43" s="1400">
        <f>'Scenarios technology'!L187</f>
        <v>170.0955284333447</v>
      </c>
      <c r="F43" s="1400">
        <f>'Scenarios technology'!L327</f>
        <v>138.98043085605343</v>
      </c>
      <c r="G43" s="1401">
        <f>'Scenarios technology'!L467</f>
        <v>92.784443557458943</v>
      </c>
      <c r="I43" s="2048"/>
      <c r="J43" s="149" t="s">
        <v>338</v>
      </c>
      <c r="K43" s="191">
        <f t="shared" si="0"/>
        <v>2.0687777777777776</v>
      </c>
      <c r="L43" s="192">
        <f t="shared" si="1"/>
        <v>1.8899503159260522</v>
      </c>
      <c r="M43" s="192">
        <f t="shared" si="2"/>
        <v>1.5442270095117048</v>
      </c>
      <c r="N43" s="193">
        <f t="shared" si="3"/>
        <v>1.0309382617495437</v>
      </c>
    </row>
    <row r="44" spans="2:14" x14ac:dyDescent="0.25">
      <c r="B44" s="2048"/>
      <c r="C44" s="862" t="s">
        <v>339</v>
      </c>
      <c r="D44" s="1400">
        <f>'Scenarios technology'!L48</f>
        <v>239.43999999999997</v>
      </c>
      <c r="E44" s="1400">
        <f>'Scenarios technology'!L188</f>
        <v>218.74253895526104</v>
      </c>
      <c r="F44" s="1400">
        <f>'Scenarios technology'!L328</f>
        <v>178.72858028988367</v>
      </c>
      <c r="G44" s="1401">
        <f>'Scenarios technology'!L468</f>
        <v>119.32062498199672</v>
      </c>
      <c r="I44" s="2048"/>
      <c r="J44" s="149" t="s">
        <v>339</v>
      </c>
      <c r="K44" s="191">
        <f t="shared" si="0"/>
        <v>1.3013043478260868</v>
      </c>
      <c r="L44" s="192">
        <f t="shared" si="1"/>
        <v>1.1888181464959839</v>
      </c>
      <c r="M44" s="192">
        <f t="shared" si="2"/>
        <v>0.97135097983632424</v>
      </c>
      <c r="N44" s="193">
        <f t="shared" si="3"/>
        <v>0.64848165751085174</v>
      </c>
    </row>
    <row r="45" spans="2:14" x14ac:dyDescent="0.25">
      <c r="B45" s="2048"/>
      <c r="C45" s="862" t="s">
        <v>340</v>
      </c>
      <c r="D45" s="1400">
        <f>'Scenarios technology'!L52</f>
        <v>860</v>
      </c>
      <c r="E45" s="1400">
        <f>'Scenarios technology'!L192</f>
        <v>798.4379296612625</v>
      </c>
      <c r="F45" s="1400">
        <f>'Scenarios technology'!L332</f>
        <v>722.09295159278633</v>
      </c>
      <c r="G45" s="1401">
        <f>'Scenarios technology'!L472</f>
        <v>666.46887841249895</v>
      </c>
      <c r="I45" s="2048"/>
      <c r="J45" s="149" t="s">
        <v>340</v>
      </c>
      <c r="K45" s="191">
        <f t="shared" si="0"/>
        <v>1.5087719298245614</v>
      </c>
      <c r="L45" s="192">
        <f t="shared" si="1"/>
        <v>1.4007682976513378</v>
      </c>
      <c r="M45" s="192">
        <f t="shared" si="2"/>
        <v>1.2668297396364672</v>
      </c>
      <c r="N45" s="193">
        <f t="shared" si="3"/>
        <v>1.1692436463377174</v>
      </c>
    </row>
    <row r="46" spans="2:14" ht="15.75" thickBot="1" x14ac:dyDescent="0.3">
      <c r="B46" s="2049"/>
      <c r="C46" s="1384" t="s">
        <v>341</v>
      </c>
      <c r="D46" s="1402">
        <f>'Scenarios technology'!L53</f>
        <v>2220</v>
      </c>
      <c r="E46" s="1402">
        <f>'Scenarios technology'!L193</f>
        <v>2061.0839579627941</v>
      </c>
      <c r="F46" s="1402">
        <f>'Scenarios technology'!L333</f>
        <v>1864.0073866697508</v>
      </c>
      <c r="G46" s="1403">
        <f>'Scenarios technology'!L473</f>
        <v>1720.4196628787763</v>
      </c>
      <c r="I46" s="2049"/>
      <c r="J46" s="1404" t="s">
        <v>341</v>
      </c>
      <c r="K46" s="191">
        <f t="shared" si="0"/>
        <v>1.168421052631579</v>
      </c>
      <c r="L46" s="192">
        <f t="shared" si="1"/>
        <v>1.0847810305067338</v>
      </c>
      <c r="M46" s="192">
        <f t="shared" si="2"/>
        <v>0.98105651929986881</v>
      </c>
      <c r="N46" s="193">
        <f t="shared" si="3"/>
        <v>0.90548403309409276</v>
      </c>
    </row>
    <row r="47" spans="2:14" x14ac:dyDescent="0.25">
      <c r="B47" s="2050" t="s">
        <v>354</v>
      </c>
      <c r="C47" s="1385" t="s">
        <v>345</v>
      </c>
      <c r="D47" s="1398">
        <f>'Scenarios technology'!L61</f>
        <v>20.206334388684368</v>
      </c>
      <c r="E47" s="1398">
        <f>'Scenarios technology'!L201</f>
        <v>17.650418653912141</v>
      </c>
      <c r="F47" s="1398">
        <f>'Scenarios technology'!L341</f>
        <v>15.068368287476625</v>
      </c>
      <c r="G47" s="1399">
        <f>'Scenarios technology'!L481</f>
        <v>13.163168053487649</v>
      </c>
      <c r="I47" s="2050" t="s">
        <v>354</v>
      </c>
      <c r="J47" s="1405" t="s">
        <v>345</v>
      </c>
      <c r="K47" s="191">
        <f t="shared" si="0"/>
        <v>1.0103167194342184</v>
      </c>
      <c r="L47" s="192">
        <f t="shared" si="1"/>
        <v>0.88252093269560705</v>
      </c>
      <c r="M47" s="192">
        <f t="shared" si="2"/>
        <v>0.75341841437383139</v>
      </c>
      <c r="N47" s="193">
        <f t="shared" si="3"/>
        <v>0.65815840267438241</v>
      </c>
    </row>
    <row r="48" spans="2:14" x14ac:dyDescent="0.25">
      <c r="B48" s="2051"/>
      <c r="C48" s="863" t="s">
        <v>346</v>
      </c>
      <c r="D48" s="1400">
        <f>'Scenarios technology'!L73</f>
        <v>26.129940494698896</v>
      </c>
      <c r="E48" s="1400">
        <f>'Scenarios technology'!L213</f>
        <v>23.075539150390465</v>
      </c>
      <c r="F48" s="1400">
        <f>'Scenarios technology'!L353</f>
        <v>19.752154927003357</v>
      </c>
      <c r="G48" s="1401">
        <f>'Scenarios technology'!L493</f>
        <v>17.222006363336583</v>
      </c>
      <c r="I48" s="2051"/>
      <c r="J48" s="1405" t="s">
        <v>346</v>
      </c>
      <c r="K48" s="191">
        <f t="shared" si="0"/>
        <v>0.87099801648996322</v>
      </c>
      <c r="L48" s="192">
        <f t="shared" si="1"/>
        <v>0.76918463834634887</v>
      </c>
      <c r="M48" s="192">
        <f t="shared" si="2"/>
        <v>0.65840516423344519</v>
      </c>
      <c r="N48" s="193">
        <f t="shared" si="3"/>
        <v>0.57406687877788598</v>
      </c>
    </row>
    <row r="49" spans="1:35" x14ac:dyDescent="0.25">
      <c r="B49" s="2051"/>
      <c r="C49" s="863" t="s">
        <v>18</v>
      </c>
      <c r="D49" s="1400">
        <f>'Scenarios technology'!L85</f>
        <v>4.7999999999999989</v>
      </c>
      <c r="E49" s="1400">
        <f>'Scenarios technology'!L225</f>
        <v>4.1477017846728321</v>
      </c>
      <c r="F49" s="1400">
        <f>'Scenarios technology'!L365</f>
        <v>3.5840479363704567</v>
      </c>
      <c r="G49" s="1401">
        <f>'Scenarios technology'!L505</f>
        <v>3.3079625040800806</v>
      </c>
      <c r="I49" s="2051"/>
      <c r="J49" s="1405" t="s">
        <v>18</v>
      </c>
      <c r="K49" s="191">
        <f t="shared" si="0"/>
        <v>4.7999999999999989</v>
      </c>
      <c r="L49" s="192">
        <f t="shared" si="1"/>
        <v>4.1477017846728321</v>
      </c>
      <c r="M49" s="192">
        <f t="shared" si="2"/>
        <v>3.5840479363704567</v>
      </c>
      <c r="N49" s="193">
        <f t="shared" si="3"/>
        <v>3.3079625040800806</v>
      </c>
    </row>
    <row r="50" spans="1:35" x14ac:dyDescent="0.25">
      <c r="B50" s="2051"/>
      <c r="C50" s="863" t="s">
        <v>334</v>
      </c>
      <c r="D50" s="1400">
        <f>'Scenarios technology'!L103</f>
        <v>111.75451</v>
      </c>
      <c r="E50" s="1400">
        <f>'Scenarios technology'!L243</f>
        <v>97.534999999999997</v>
      </c>
      <c r="F50" s="1400">
        <f>'Scenarios technology'!L383</f>
        <v>91.6</v>
      </c>
      <c r="G50" s="1401">
        <f>'Scenarios technology'!L523</f>
        <v>91.575000000000003</v>
      </c>
      <c r="I50" s="2051"/>
      <c r="J50" s="1405" t="s">
        <v>334</v>
      </c>
      <c r="K50" s="191">
        <f t="shared" si="0"/>
        <v>0.14900601333333333</v>
      </c>
      <c r="L50" s="192">
        <f t="shared" si="1"/>
        <v>0.13004666666666667</v>
      </c>
      <c r="M50" s="192">
        <f t="shared" si="2"/>
        <v>0.12213333333333333</v>
      </c>
      <c r="N50" s="193">
        <f t="shared" si="3"/>
        <v>0.1221</v>
      </c>
    </row>
    <row r="51" spans="1:35" x14ac:dyDescent="0.25">
      <c r="B51" s="2051"/>
      <c r="C51" s="863" t="s">
        <v>335</v>
      </c>
      <c r="D51" s="1400">
        <f>'Scenarios technology'!L109</f>
        <v>103.6</v>
      </c>
      <c r="E51" s="1400">
        <f>'Scenarios technology'!L249</f>
        <v>103.6</v>
      </c>
      <c r="F51" s="1400">
        <f>'Scenarios technology'!L389</f>
        <v>103.6</v>
      </c>
      <c r="G51" s="1401">
        <f>'Scenarios technology'!L529</f>
        <v>103.6</v>
      </c>
      <c r="I51" s="2051"/>
      <c r="J51" s="1405" t="s">
        <v>335</v>
      </c>
      <c r="K51" s="191">
        <f t="shared" si="0"/>
        <v>0.1036</v>
      </c>
      <c r="L51" s="192">
        <f t="shared" si="1"/>
        <v>0.1036</v>
      </c>
      <c r="M51" s="192">
        <f t="shared" si="2"/>
        <v>0.1036</v>
      </c>
      <c r="N51" s="193">
        <f t="shared" si="3"/>
        <v>0.1036</v>
      </c>
    </row>
    <row r="52" spans="1:35" x14ac:dyDescent="0.25">
      <c r="B52" s="2051"/>
      <c r="C52" s="863" t="s">
        <v>338</v>
      </c>
      <c r="D52" s="1400">
        <f>'Scenarios technology'!L115</f>
        <v>162</v>
      </c>
      <c r="E52" s="1400">
        <f>'Scenarios technology'!L255</f>
        <v>147.99653905259058</v>
      </c>
      <c r="F52" s="1400">
        <f>'Scenarios technology'!L395</f>
        <v>120.92394757334259</v>
      </c>
      <c r="G52" s="1401">
        <f>'Scenarios technology'!L535</f>
        <v>80.729791376058586</v>
      </c>
      <c r="H52" s="73"/>
      <c r="I52" s="2051"/>
      <c r="J52" s="1405" t="s">
        <v>338</v>
      </c>
      <c r="K52" s="191">
        <f t="shared" si="0"/>
        <v>6.48</v>
      </c>
      <c r="L52" s="192">
        <f t="shared" si="1"/>
        <v>5.9198615621036232</v>
      </c>
      <c r="M52" s="192">
        <f t="shared" si="2"/>
        <v>4.8369579029337038</v>
      </c>
      <c r="N52" s="193">
        <f t="shared" si="3"/>
        <v>3.2291916550423436</v>
      </c>
    </row>
    <row r="53" spans="1:35" x14ac:dyDescent="0.25">
      <c r="B53" s="2051"/>
      <c r="C53" s="863" t="s">
        <v>339</v>
      </c>
      <c r="D53" s="1400">
        <f>'Scenarios technology'!L119</f>
        <v>324</v>
      </c>
      <c r="E53" s="1400">
        <f>'Scenarios technology'!L259</f>
        <v>295.99307810518116</v>
      </c>
      <c r="F53" s="1400">
        <f>'Scenarios technology'!L399</f>
        <v>241.84789514668518</v>
      </c>
      <c r="G53" s="1401">
        <f>'Scenarios technology'!L539</f>
        <v>161.45958275211717</v>
      </c>
      <c r="H53" s="2"/>
      <c r="I53" s="2051"/>
      <c r="J53" s="1405" t="s">
        <v>339</v>
      </c>
      <c r="K53" s="191">
        <f t="shared" si="0"/>
        <v>6.48</v>
      </c>
      <c r="L53" s="192">
        <f t="shared" si="1"/>
        <v>5.9198615621036232</v>
      </c>
      <c r="M53" s="192">
        <f t="shared" si="2"/>
        <v>4.8369579029337038</v>
      </c>
      <c r="N53" s="193">
        <f t="shared" si="3"/>
        <v>3.2291916550423436</v>
      </c>
    </row>
    <row r="54" spans="1:35" x14ac:dyDescent="0.25">
      <c r="B54" s="2051"/>
      <c r="C54" s="863" t="s">
        <v>340</v>
      </c>
      <c r="D54" s="1400">
        <f>'Scenarios technology'!L123</f>
        <v>2720</v>
      </c>
      <c r="E54" s="1400">
        <f>'Scenarios technology'!L263</f>
        <v>2525.292056603063</v>
      </c>
      <c r="F54" s="1400">
        <f>'Scenarios technology'!L403</f>
        <v>2283.8288701539286</v>
      </c>
      <c r="G54" s="1401">
        <f>'Scenarios technology'!L543</f>
        <v>2107.9015689325547</v>
      </c>
      <c r="H54" s="865"/>
      <c r="I54" s="2051"/>
      <c r="J54" s="1405" t="s">
        <v>340</v>
      </c>
      <c r="K54" s="191">
        <f t="shared" si="0"/>
        <v>0.13600000000000001</v>
      </c>
      <c r="L54" s="192">
        <f t="shared" si="1"/>
        <v>0.12626460283015314</v>
      </c>
      <c r="M54" s="192">
        <f t="shared" si="2"/>
        <v>0.11419144350769643</v>
      </c>
      <c r="N54" s="193">
        <f t="shared" si="3"/>
        <v>0.10539507844662774</v>
      </c>
    </row>
    <row r="55" spans="1:35" ht="15.75" thickBot="1" x14ac:dyDescent="0.3">
      <c r="B55" s="2052"/>
      <c r="C55" s="1386" t="s">
        <v>341</v>
      </c>
      <c r="D55" s="1402">
        <f>'Scenarios technology'!L128</f>
        <v>2850</v>
      </c>
      <c r="E55" s="1402">
        <f>'Scenarios technology'!L268</f>
        <v>2645.9861622495328</v>
      </c>
      <c r="F55" s="1402">
        <f>'Scenarios technology'!L408</f>
        <v>2392.9824558598152</v>
      </c>
      <c r="G55" s="1403">
        <f>'Scenarios technology'!L548</f>
        <v>2208.6468645065374</v>
      </c>
      <c r="H55" s="2"/>
      <c r="I55" s="2052"/>
      <c r="J55" s="1406" t="s">
        <v>341</v>
      </c>
      <c r="K55" s="1407">
        <f t="shared" si="0"/>
        <v>3.7999999999999999E-2</v>
      </c>
      <c r="L55" s="1408">
        <f t="shared" si="1"/>
        <v>3.5279815496660434E-2</v>
      </c>
      <c r="M55" s="1408">
        <f t="shared" si="2"/>
        <v>3.1906432744797535E-2</v>
      </c>
      <c r="N55" s="1409">
        <f t="shared" si="3"/>
        <v>2.9448624860087164E-2</v>
      </c>
    </row>
    <row r="56" spans="1:35" x14ac:dyDescent="0.25">
      <c r="H56" s="2"/>
    </row>
    <row r="57" spans="1:35" x14ac:dyDescent="0.25">
      <c r="H57" s="2"/>
      <c r="I57" s="2"/>
    </row>
    <row r="58" spans="1:35" x14ac:dyDescent="0.25">
      <c r="A58" s="2"/>
      <c r="B58" s="2"/>
      <c r="C58" s="2"/>
      <c r="D58" s="2"/>
      <c r="E58" s="2"/>
      <c r="F58" s="2"/>
      <c r="G58" s="2"/>
      <c r="H58" s="2"/>
      <c r="I58" s="2"/>
      <c r="Z58" s="2"/>
      <c r="AA58" s="2"/>
      <c r="AB58" s="2"/>
      <c r="AC58" s="2"/>
      <c r="AD58" s="2"/>
      <c r="AE58" s="2"/>
      <c r="AF58" s="2"/>
      <c r="AG58" s="2"/>
      <c r="AH58" s="2"/>
      <c r="AI58" s="2"/>
    </row>
    <row r="59" spans="1:35" x14ac:dyDescent="0.25">
      <c r="A59" s="2"/>
      <c r="B59" s="2"/>
      <c r="C59" s="2"/>
      <c r="D59" s="2"/>
      <c r="E59" s="2"/>
      <c r="F59" s="2"/>
      <c r="G59" s="2"/>
      <c r="H59" s="2"/>
      <c r="I59" s="2"/>
      <c r="Z59" s="864"/>
      <c r="AA59" s="2"/>
      <c r="AB59" s="2"/>
      <c r="AC59" s="2"/>
      <c r="AD59" s="2"/>
      <c r="AE59" s="2"/>
      <c r="AF59" s="2"/>
      <c r="AG59" s="2"/>
      <c r="AH59" s="2"/>
      <c r="AI59" s="2"/>
    </row>
    <row r="60" spans="1:35" x14ac:dyDescent="0.25">
      <c r="A60" s="2"/>
      <c r="B60" s="1460"/>
      <c r="C60" s="1458" t="s">
        <v>343</v>
      </c>
      <c r="D60" s="1462"/>
      <c r="E60" s="1462"/>
      <c r="F60" s="1462"/>
      <c r="G60" s="1463"/>
      <c r="H60" s="2"/>
      <c r="I60" s="2"/>
      <c r="Z60" s="2"/>
      <c r="AA60" s="2"/>
      <c r="AB60" s="2"/>
      <c r="AC60" s="2"/>
      <c r="AD60" s="2"/>
      <c r="AE60" s="2"/>
      <c r="AF60" s="2"/>
      <c r="AG60" s="2"/>
      <c r="AH60" s="2"/>
      <c r="AI60" s="2"/>
    </row>
    <row r="61" spans="1:35" ht="15.75" thickBot="1" x14ac:dyDescent="0.3">
      <c r="A61" s="2"/>
      <c r="B61" s="73"/>
      <c r="C61" s="73"/>
      <c r="D61" s="73"/>
      <c r="E61" s="73"/>
      <c r="F61" s="73"/>
      <c r="G61" s="73"/>
      <c r="H61" s="2"/>
      <c r="I61" s="2"/>
      <c r="Z61" s="2"/>
      <c r="AA61" s="2"/>
      <c r="AB61" s="2"/>
      <c r="AC61" s="2"/>
      <c r="AD61" s="2"/>
      <c r="AE61" s="2"/>
      <c r="AF61" s="2"/>
      <c r="AG61" s="2"/>
      <c r="AH61" s="2"/>
      <c r="AI61" s="2"/>
    </row>
    <row r="62" spans="1:35" ht="15.75" thickBot="1" x14ac:dyDescent="0.3">
      <c r="A62" s="2"/>
      <c r="B62" s="73"/>
      <c r="C62" s="1396" t="s">
        <v>342</v>
      </c>
      <c r="D62" s="1397">
        <v>2010</v>
      </c>
      <c r="E62" s="264">
        <v>2020</v>
      </c>
      <c r="F62" s="264">
        <v>2030</v>
      </c>
      <c r="G62" s="265">
        <v>2050</v>
      </c>
      <c r="H62" s="2"/>
      <c r="I62" s="2"/>
      <c r="Z62" s="2"/>
      <c r="AA62" s="2"/>
      <c r="AB62" s="2"/>
      <c r="AC62" s="2"/>
      <c r="AD62" s="2"/>
      <c r="AE62" s="2"/>
      <c r="AF62" s="2"/>
      <c r="AG62" s="2"/>
      <c r="AH62" s="2"/>
      <c r="AI62" s="2"/>
    </row>
    <row r="63" spans="1:35" x14ac:dyDescent="0.25">
      <c r="A63" s="2"/>
      <c r="B63" s="2053" t="s">
        <v>353</v>
      </c>
      <c r="C63" s="1383" t="s">
        <v>332</v>
      </c>
      <c r="D63" s="1410">
        <f>'Scenarios technology'!T6</f>
        <v>2120322</v>
      </c>
      <c r="E63" s="1410">
        <f>'Scenarios technology'!T146</f>
        <v>2387916.5365056777</v>
      </c>
      <c r="F63" s="1410">
        <f>'Scenarios technology'!T286</f>
        <v>2684987.3309922684</v>
      </c>
      <c r="G63" s="1411">
        <f>'Scenarios technology'!T426</f>
        <v>2726880.0786693594</v>
      </c>
      <c r="H63" s="2"/>
      <c r="I63" s="2"/>
      <c r="Z63" s="2"/>
      <c r="AA63" s="2"/>
      <c r="AB63" s="2"/>
      <c r="AC63" s="2"/>
      <c r="AD63" s="2"/>
      <c r="AE63" s="2"/>
      <c r="AF63" s="2"/>
      <c r="AG63" s="2"/>
      <c r="AH63" s="2"/>
      <c r="AI63" s="2"/>
    </row>
    <row r="64" spans="1:35" x14ac:dyDescent="0.25">
      <c r="A64" s="2"/>
      <c r="B64" s="2054"/>
      <c r="C64" s="862" t="s">
        <v>334</v>
      </c>
      <c r="D64" s="266">
        <f>'Scenarios technology'!T25</f>
        <v>219.76694425242695</v>
      </c>
      <c r="E64" s="266">
        <f>'Scenarios technology'!T165</f>
        <v>20.06943044911236</v>
      </c>
      <c r="F64" s="266">
        <f>'Scenarios technology'!T305</f>
        <v>0</v>
      </c>
      <c r="G64" s="267">
        <f>'Scenarios technology'!T445</f>
        <v>0</v>
      </c>
      <c r="H64" s="2"/>
      <c r="I64" s="2"/>
      <c r="Z64" s="2"/>
      <c r="AA64" s="2"/>
      <c r="AB64" s="2"/>
      <c r="AC64" s="2"/>
      <c r="AD64" s="2"/>
      <c r="AE64" s="2"/>
      <c r="AF64" s="2"/>
      <c r="AG64" s="2"/>
      <c r="AH64" s="2"/>
      <c r="AI64" s="2"/>
    </row>
    <row r="65" spans="1:35" ht="15.75" thickBot="1" x14ac:dyDescent="0.3">
      <c r="A65" s="2"/>
      <c r="B65" s="2055"/>
      <c r="C65" s="1384" t="s">
        <v>336</v>
      </c>
      <c r="D65" s="268">
        <f>'Scenarios technology'!T31</f>
        <v>14445.081453795592</v>
      </c>
      <c r="E65" s="268">
        <f>'Scenarios technology'!T171</f>
        <v>14117.418830886178</v>
      </c>
      <c r="F65" s="268">
        <f>'Scenarios technology'!T311</f>
        <v>14474.351412019916</v>
      </c>
      <c r="G65" s="269">
        <f>'Scenarios technology'!T451</f>
        <v>14840.53967034241</v>
      </c>
      <c r="H65" s="2"/>
      <c r="I65" s="2"/>
      <c r="Z65" s="2"/>
      <c r="AA65" s="2"/>
      <c r="AB65" s="2"/>
      <c r="AC65" s="2"/>
      <c r="AD65" s="2"/>
      <c r="AE65" s="2"/>
      <c r="AF65" s="2"/>
      <c r="AG65" s="2"/>
      <c r="AH65" s="2"/>
      <c r="AI65" s="2"/>
    </row>
    <row r="66" spans="1:35" x14ac:dyDescent="0.25">
      <c r="A66" s="2"/>
      <c r="B66" s="2056" t="s">
        <v>354</v>
      </c>
      <c r="C66" s="1385" t="s">
        <v>345</v>
      </c>
      <c r="D66" s="1410">
        <f>'Scenarios technology'!T61</f>
        <v>45502</v>
      </c>
      <c r="E66" s="1410">
        <f>'Scenarios technology'!T201</f>
        <v>48948.360237792942</v>
      </c>
      <c r="F66" s="1410">
        <f>'Scenarios technology'!T341</f>
        <v>52598.870294840555</v>
      </c>
      <c r="G66" s="1411">
        <f>'Scenarios technology'!T481</f>
        <v>56901.245694826415</v>
      </c>
      <c r="H66" s="2"/>
      <c r="I66" s="2"/>
      <c r="Z66" s="2"/>
      <c r="AA66" s="2"/>
      <c r="AB66" s="2"/>
      <c r="AC66" s="2"/>
      <c r="AD66" s="2"/>
      <c r="AE66" s="2"/>
      <c r="AF66" s="2"/>
      <c r="AG66" s="8"/>
      <c r="AH66" s="2"/>
      <c r="AI66" s="2"/>
    </row>
    <row r="67" spans="1:35" x14ac:dyDescent="0.25">
      <c r="A67" s="2"/>
      <c r="B67" s="2057"/>
      <c r="C67" s="863" t="s">
        <v>346</v>
      </c>
      <c r="D67" s="266">
        <f>'Scenarios technology'!T73</f>
        <v>24015.993933773505</v>
      </c>
      <c r="E67" s="266">
        <f>'Scenarios technology'!T213</f>
        <v>22729.107008717627</v>
      </c>
      <c r="F67" s="266">
        <f>'Scenarios technology'!T353</f>
        <v>21760.223037033888</v>
      </c>
      <c r="G67" s="267">
        <f>'Scenarios technology'!T493</f>
        <v>21114.065561029132</v>
      </c>
      <c r="H67" s="2"/>
      <c r="I67" s="2"/>
      <c r="Z67" s="2"/>
      <c r="AA67" s="2"/>
      <c r="AB67" s="8"/>
      <c r="AC67" s="2"/>
      <c r="AD67" s="2"/>
      <c r="AE67" s="2"/>
      <c r="AF67" s="2"/>
      <c r="AG67" s="2"/>
      <c r="AH67" s="2"/>
      <c r="AI67" s="2"/>
    </row>
    <row r="68" spans="1:35" ht="15.75" thickBot="1" x14ac:dyDescent="0.3">
      <c r="A68" s="2"/>
      <c r="B68" s="2058"/>
      <c r="C68" s="1386" t="s">
        <v>18</v>
      </c>
      <c r="D68" s="268">
        <f>'Scenarios technology'!T85</f>
        <v>462359</v>
      </c>
      <c r="E68" s="268">
        <f>'Scenarios technology'!T225</f>
        <v>520324.8119264844</v>
      </c>
      <c r="F68" s="268">
        <f>'Scenarios technology'!T365</f>
        <v>585557.7806560084</v>
      </c>
      <c r="G68" s="269">
        <f>'Scenarios technology'!T505</f>
        <v>659749.59163159342</v>
      </c>
      <c r="H68" s="2"/>
      <c r="I68" s="2"/>
      <c r="Z68" s="2"/>
      <c r="AA68" s="2"/>
      <c r="AB68" s="8"/>
      <c r="AC68" s="2"/>
      <c r="AD68" s="2"/>
      <c r="AE68" s="2"/>
      <c r="AF68" s="2"/>
      <c r="AG68" s="2"/>
      <c r="AH68" s="2"/>
      <c r="AI68" s="2"/>
    </row>
    <row r="69" spans="1:35" x14ac:dyDescent="0.25">
      <c r="A69" s="2"/>
      <c r="B69" s="73"/>
      <c r="C69" s="2"/>
      <c r="D69" s="875"/>
      <c r="E69" s="875"/>
      <c r="F69" s="866"/>
      <c r="G69" s="866"/>
      <c r="H69" s="2"/>
      <c r="I69" s="2"/>
      <c r="Z69" s="2"/>
      <c r="AA69" s="2"/>
      <c r="AB69" s="8"/>
      <c r="AC69" s="2"/>
      <c r="AD69" s="2"/>
      <c r="AE69" s="2"/>
      <c r="AF69" s="2"/>
      <c r="AG69" s="2"/>
      <c r="AH69" s="2"/>
      <c r="AI69" s="2"/>
    </row>
    <row r="70" spans="1:35" x14ac:dyDescent="0.25">
      <c r="A70" s="2"/>
      <c r="H70" s="2"/>
      <c r="I70" s="2"/>
      <c r="Z70" s="864"/>
      <c r="AA70" s="2"/>
      <c r="AB70" s="8"/>
      <c r="AC70" s="2"/>
      <c r="AD70" s="2"/>
      <c r="AE70" s="2"/>
      <c r="AF70" s="2"/>
      <c r="AG70" s="2"/>
      <c r="AH70" s="2"/>
      <c r="AI70" s="2"/>
    </row>
    <row r="71" spans="1:35" x14ac:dyDescent="0.25">
      <c r="A71" s="2"/>
      <c r="B71" s="73"/>
      <c r="C71" s="2"/>
      <c r="D71" s="875"/>
      <c r="E71" s="875"/>
      <c r="F71" s="866"/>
      <c r="G71" s="866"/>
      <c r="H71" s="2"/>
      <c r="I71" s="2"/>
      <c r="Z71" s="2"/>
      <c r="AA71" s="2"/>
      <c r="AB71" s="8"/>
      <c r="AC71" s="2"/>
      <c r="AD71" s="2"/>
      <c r="AE71" s="2"/>
      <c r="AF71" s="2"/>
      <c r="AG71" s="2"/>
      <c r="AH71" s="50"/>
      <c r="AI71" s="2"/>
    </row>
    <row r="72" spans="1:35" x14ac:dyDescent="0.25">
      <c r="A72" s="2"/>
      <c r="B72" s="73"/>
      <c r="C72" s="2"/>
      <c r="D72" s="875"/>
      <c r="E72" s="875"/>
      <c r="F72" s="866"/>
      <c r="G72" s="866"/>
      <c r="H72" s="2"/>
      <c r="I72" s="2"/>
      <c r="Z72" s="2"/>
      <c r="AA72" s="2"/>
      <c r="AB72" s="8"/>
      <c r="AC72" s="2"/>
      <c r="AD72" s="2"/>
      <c r="AE72" s="2"/>
      <c r="AF72" s="2"/>
      <c r="AG72" s="2"/>
      <c r="AH72" s="2"/>
      <c r="AI72" s="2"/>
    </row>
    <row r="73" spans="1:35" x14ac:dyDescent="0.25">
      <c r="A73" s="2"/>
      <c r="B73" s="864" t="s">
        <v>344</v>
      </c>
      <c r="C73" s="2"/>
      <c r="D73" s="2"/>
      <c r="E73" s="2"/>
      <c r="F73" s="2"/>
      <c r="G73" s="2"/>
      <c r="H73" s="2"/>
      <c r="I73" s="2"/>
      <c r="Z73" s="2"/>
      <c r="AA73" s="2"/>
      <c r="AB73" s="2"/>
      <c r="AC73" s="2"/>
      <c r="AD73" s="2"/>
      <c r="AE73" s="2"/>
      <c r="AF73" s="2"/>
      <c r="AG73" s="2"/>
      <c r="AH73" s="2"/>
      <c r="AI73" s="2"/>
    </row>
    <row r="74" spans="1:35" x14ac:dyDescent="0.25">
      <c r="A74" s="2"/>
      <c r="B74" s="2"/>
      <c r="C74" s="2"/>
      <c r="D74" s="2"/>
      <c r="E74" s="2"/>
      <c r="F74" s="2"/>
      <c r="G74" s="2"/>
      <c r="H74" s="2"/>
      <c r="I74" s="2"/>
      <c r="Z74" s="2"/>
      <c r="AA74" s="2"/>
      <c r="AB74" s="2"/>
      <c r="AC74" s="2"/>
      <c r="AD74" s="2"/>
      <c r="AE74" s="2"/>
      <c r="AF74" s="2"/>
      <c r="AG74" s="2"/>
      <c r="AH74" s="2"/>
      <c r="AI74" s="2"/>
    </row>
    <row r="75" spans="1:35" x14ac:dyDescent="0.25">
      <c r="A75" s="2"/>
      <c r="B75" s="1460"/>
      <c r="C75" s="2064" t="s">
        <v>355</v>
      </c>
      <c r="D75" s="2064"/>
      <c r="E75" s="1462"/>
      <c r="F75" s="1462"/>
      <c r="G75" s="1463"/>
      <c r="H75" s="2"/>
      <c r="I75" s="2062" t="s">
        <v>361</v>
      </c>
      <c r="J75" s="2063"/>
      <c r="K75" s="1462"/>
      <c r="L75" s="1462"/>
      <c r="M75" s="1463"/>
      <c r="P75" s="1506" t="s">
        <v>362</v>
      </c>
      <c r="Q75" s="1462"/>
      <c r="R75" s="1462"/>
      <c r="S75" s="1462"/>
      <c r="T75" s="1463"/>
      <c r="Z75" s="2"/>
      <c r="AA75" s="2"/>
      <c r="AB75" s="2"/>
      <c r="AC75" s="2"/>
      <c r="AD75" s="2"/>
      <c r="AE75" s="2"/>
      <c r="AF75" s="2"/>
      <c r="AG75" s="2"/>
      <c r="AH75" s="2"/>
      <c r="AI75" s="2"/>
    </row>
    <row r="76" spans="1:35" ht="15.75" thickBot="1" x14ac:dyDescent="0.3">
      <c r="A76" s="864"/>
    </row>
    <row r="77" spans="1:35" ht="21.75" thickBot="1" x14ac:dyDescent="0.3">
      <c r="A77" s="2"/>
      <c r="B77" s="2074" t="s">
        <v>353</v>
      </c>
      <c r="C77" s="2075"/>
      <c r="D77" s="2075"/>
      <c r="E77" s="2075"/>
      <c r="F77" s="2075"/>
      <c r="G77" s="2075"/>
      <c r="H77" s="2075"/>
      <c r="I77" s="2075"/>
      <c r="J77" s="2075"/>
      <c r="K77" s="2075"/>
      <c r="L77" s="2075"/>
      <c r="M77" s="2075"/>
      <c r="N77" s="2075"/>
      <c r="O77" s="2075"/>
      <c r="P77" s="2075"/>
      <c r="Q77" s="2075"/>
      <c r="R77" s="2075"/>
      <c r="S77" s="2075"/>
      <c r="T77" s="2076"/>
    </row>
    <row r="78" spans="1:35" ht="15.75" thickBot="1" x14ac:dyDescent="0.3">
      <c r="A78" s="2"/>
      <c r="C78" s="1500" t="s">
        <v>342</v>
      </c>
      <c r="D78" s="1501">
        <v>2010</v>
      </c>
      <c r="E78" s="1502">
        <v>2020</v>
      </c>
      <c r="F78" s="1502">
        <v>2030</v>
      </c>
      <c r="G78" s="1503">
        <v>2050</v>
      </c>
      <c r="H78" s="2"/>
      <c r="I78" s="1504" t="s">
        <v>342</v>
      </c>
      <c r="J78" s="1505">
        <v>2010</v>
      </c>
      <c r="K78" s="1502">
        <v>2020</v>
      </c>
      <c r="L78" s="1502">
        <v>2030</v>
      </c>
      <c r="M78" s="1503">
        <v>2050</v>
      </c>
      <c r="P78" s="1504" t="s">
        <v>342</v>
      </c>
      <c r="Q78" s="1502">
        <v>2010</v>
      </c>
      <c r="R78" s="1502">
        <v>2020</v>
      </c>
      <c r="S78" s="1502">
        <v>2030</v>
      </c>
      <c r="T78" s="1503">
        <v>2050</v>
      </c>
    </row>
    <row r="79" spans="1:35" x14ac:dyDescent="0.25">
      <c r="A79" s="2"/>
      <c r="B79" s="2059" t="s">
        <v>356</v>
      </c>
      <c r="C79" s="1412" t="s">
        <v>295</v>
      </c>
      <c r="D79" s="1413">
        <f>'Scenarios technology'!AB7</f>
        <v>0.48</v>
      </c>
      <c r="E79" s="1413">
        <f>'Scenarios technology'!AB147</f>
        <v>0.42133333333333328</v>
      </c>
      <c r="F79" s="1413">
        <f>'Scenarios technology'!AB287</f>
        <v>0.42133333333333328</v>
      </c>
      <c r="G79" s="1414">
        <f>'Scenarios technology'!AB427</f>
        <v>0.42133333333333328</v>
      </c>
      <c r="H79" s="2"/>
      <c r="I79" s="1443" t="s">
        <v>295</v>
      </c>
      <c r="J79" s="1446">
        <f>D79/$D$11</f>
        <v>0.12</v>
      </c>
      <c r="K79" s="1417">
        <f>E79/$E$11</f>
        <v>0.10533333333333332</v>
      </c>
      <c r="L79" s="1417">
        <f>F79/$F$11</f>
        <v>0.10533333333333332</v>
      </c>
      <c r="M79" s="1418">
        <f>G79/$G$11</f>
        <v>0.10533333333333332</v>
      </c>
      <c r="P79" s="1443" t="s">
        <v>295</v>
      </c>
      <c r="Q79" s="1507">
        <f t="shared" ref="Q79:Q91" si="4">D79/($D$11*$K$11)</f>
        <v>0.319628988972536</v>
      </c>
      <c r="R79" s="1413">
        <f t="shared" ref="R79:R91" si="5">E79/($E$11*$L$11)</f>
        <v>0.28102116298541696</v>
      </c>
      <c r="S79" s="1413">
        <f t="shared" ref="S79:S91" si="6">F79/($F$11*$M$11)</f>
        <v>0.2814132450385059</v>
      </c>
      <c r="T79" s="1414">
        <f t="shared" ref="T79:T91" si="7">G79/($G$11*$N$11)</f>
        <v>0.28126760076448704</v>
      </c>
    </row>
    <row r="80" spans="1:35" ht="30" x14ac:dyDescent="0.25">
      <c r="A80" s="2"/>
      <c r="B80" s="2060"/>
      <c r="C80" s="867" t="s">
        <v>302</v>
      </c>
      <c r="D80" s="1415">
        <f>'Scenarios technology'!AB20</f>
        <v>0.75839999999999996</v>
      </c>
      <c r="E80" s="1415">
        <f>'Scenarios technology'!AB160</f>
        <v>0.75839999999999996</v>
      </c>
      <c r="F80" s="1415">
        <f>'Scenarios technology'!AB300</f>
        <v>0.63200000000000001</v>
      </c>
      <c r="G80" s="1416">
        <f>'Scenarios technology'!AB440</f>
        <v>0.63200000000000001</v>
      </c>
      <c r="H80" s="2"/>
      <c r="I80" s="1443" t="s">
        <v>302</v>
      </c>
      <c r="J80" s="1446">
        <f t="shared" ref="J80:J91" si="8">D80/$D$11</f>
        <v>0.18959999999999999</v>
      </c>
      <c r="K80" s="1417">
        <f t="shared" ref="K80:K91" si="9">E80/$E$11</f>
        <v>0.18959999999999999</v>
      </c>
      <c r="L80" s="1417">
        <f t="shared" ref="L80:L91" si="10">F80/$F$11</f>
        <v>0.158</v>
      </c>
      <c r="M80" s="1418">
        <f t="shared" ref="M80:M91" si="11">G80/$G$11</f>
        <v>0.158</v>
      </c>
      <c r="P80" s="1444" t="s">
        <v>302</v>
      </c>
      <c r="Q80" s="1446">
        <f t="shared" si="4"/>
        <v>0.50501380257660688</v>
      </c>
      <c r="R80" s="1417">
        <f t="shared" si="5"/>
        <v>0.50583809337375052</v>
      </c>
      <c r="S80" s="1417">
        <f t="shared" si="6"/>
        <v>0.42211986755775888</v>
      </c>
      <c r="T80" s="1418">
        <f t="shared" si="7"/>
        <v>0.42190140114673064</v>
      </c>
    </row>
    <row r="81" spans="1:20" ht="30" x14ac:dyDescent="0.25">
      <c r="A81" s="2"/>
      <c r="B81" s="2060"/>
      <c r="C81" s="868" t="s">
        <v>311</v>
      </c>
      <c r="D81" s="1417">
        <f>'Scenarios technology'!AB21</f>
        <v>0.53309037944661275</v>
      </c>
      <c r="E81" s="1417">
        <f>'Scenarios technology'!AB161</f>
        <v>0.47910157641833256</v>
      </c>
      <c r="F81" s="1417">
        <f>'Scenarios technology'!AB301</f>
        <v>0.46322363981190134</v>
      </c>
      <c r="G81" s="1418">
        <f>'Scenarios technology'!AB441</f>
        <v>0.46322363981190134</v>
      </c>
      <c r="H81" s="2"/>
      <c r="I81" s="1444" t="s">
        <v>311</v>
      </c>
      <c r="J81" s="1446">
        <f t="shared" si="8"/>
        <v>0.13327259486165319</v>
      </c>
      <c r="K81" s="1417">
        <f t="shared" si="9"/>
        <v>0.11977539410458314</v>
      </c>
      <c r="L81" s="1417">
        <f t="shared" si="10"/>
        <v>0.11580590995297534</v>
      </c>
      <c r="M81" s="1418">
        <f t="shared" si="11"/>
        <v>0.11580590995297534</v>
      </c>
      <c r="P81" s="1444" t="s">
        <v>311</v>
      </c>
      <c r="Q81" s="1446">
        <f t="shared" si="4"/>
        <v>0.35498153961147172</v>
      </c>
      <c r="R81" s="1417">
        <f t="shared" si="5"/>
        <v>0.31955146090164505</v>
      </c>
      <c r="S81" s="1417">
        <f t="shared" si="6"/>
        <v>0.3093922491883272</v>
      </c>
      <c r="T81" s="1418">
        <f t="shared" si="7"/>
        <v>0.30923212449514187</v>
      </c>
    </row>
    <row r="82" spans="1:20" x14ac:dyDescent="0.25">
      <c r="A82" s="2"/>
      <c r="B82" s="2060"/>
      <c r="C82" s="867" t="s">
        <v>412</v>
      </c>
      <c r="D82" s="1415">
        <f>'Scenarios technology'!AB14</f>
        <v>1.73</v>
      </c>
      <c r="E82" s="1415">
        <f>'Scenarios technology'!AB154</f>
        <v>1.5928295652173912</v>
      </c>
      <c r="F82" s="1415">
        <f>'Scenarios technology'!AB294</f>
        <v>1.4556591304347826</v>
      </c>
      <c r="G82" s="1416">
        <f>'Scenarios technology'!AB434</f>
        <v>1.4556591304347826</v>
      </c>
      <c r="H82" s="2"/>
      <c r="I82" s="1443" t="s">
        <v>412</v>
      </c>
      <c r="J82" s="1446">
        <f t="shared" si="8"/>
        <v>0.4325</v>
      </c>
      <c r="K82" s="1417">
        <f t="shared" si="9"/>
        <v>0.39820739130434779</v>
      </c>
      <c r="L82" s="1417">
        <f t="shared" si="10"/>
        <v>0.36391478260869564</v>
      </c>
      <c r="M82" s="1418">
        <f t="shared" si="11"/>
        <v>0.36391478260869564</v>
      </c>
      <c r="P82" s="1443" t="s">
        <v>412</v>
      </c>
      <c r="Q82" s="1446">
        <f t="shared" si="4"/>
        <v>1.1519961477551819</v>
      </c>
      <c r="R82" s="1417">
        <f t="shared" si="5"/>
        <v>1.0623864324088941</v>
      </c>
      <c r="S82" s="1417">
        <f t="shared" si="6"/>
        <v>0.9722510116271722</v>
      </c>
      <c r="T82" s="1418">
        <f t="shared" si="7"/>
        <v>0.97174782709250995</v>
      </c>
    </row>
    <row r="83" spans="1:20" x14ac:dyDescent="0.25">
      <c r="A83" s="2"/>
      <c r="B83" s="2060"/>
      <c r="C83" s="867" t="s">
        <v>84</v>
      </c>
      <c r="D83" s="1417">
        <f>'Scenarios technology'!AB13</f>
        <v>2.2400000000000002</v>
      </c>
      <c r="E83" s="1417">
        <f>'Scenarios technology'!AB153</f>
        <v>1.8808695652173915</v>
      </c>
      <c r="F83" s="1417">
        <f>'Scenarios technology'!AB293</f>
        <v>1.5217391304347827</v>
      </c>
      <c r="G83" s="1418">
        <f>'Scenarios technology'!AB433</f>
        <v>1.5217391304347827</v>
      </c>
      <c r="H83" s="8"/>
      <c r="I83" s="1443" t="s">
        <v>84</v>
      </c>
      <c r="J83" s="1446">
        <f t="shared" si="8"/>
        <v>0.56000000000000005</v>
      </c>
      <c r="K83" s="1417">
        <f t="shared" si="9"/>
        <v>0.47021739130434786</v>
      </c>
      <c r="L83" s="1417">
        <f t="shared" si="10"/>
        <v>0.38043478260869568</v>
      </c>
      <c r="M83" s="1418">
        <f t="shared" si="11"/>
        <v>0.38043478260869568</v>
      </c>
      <c r="P83" s="1443" t="s">
        <v>84</v>
      </c>
      <c r="Q83" s="1446">
        <f t="shared" si="4"/>
        <v>1.4916019485385017</v>
      </c>
      <c r="R83" s="1417">
        <f t="shared" si="5"/>
        <v>1.2545035268384499</v>
      </c>
      <c r="S83" s="1417">
        <f t="shared" si="6"/>
        <v>1.0163865825895406</v>
      </c>
      <c r="T83" s="1418">
        <f t="shared" si="7"/>
        <v>1.0158605558706366</v>
      </c>
    </row>
    <row r="84" spans="1:20" x14ac:dyDescent="0.25">
      <c r="A84" s="2"/>
      <c r="B84" s="2060"/>
      <c r="C84" s="867" t="s">
        <v>85</v>
      </c>
      <c r="D84" s="1415">
        <f>'Scenarios technology'!AB22</f>
        <v>2.36</v>
      </c>
      <c r="E84" s="1415">
        <f>'Scenarios technology'!AB162</f>
        <v>1.9844301572617948</v>
      </c>
      <c r="F84" s="1415">
        <f>'Scenarios technology'!AB302</f>
        <v>1.6088603145235896</v>
      </c>
      <c r="G84" s="1416">
        <f>'Scenarios technology'!AB442</f>
        <v>1.6088603145235896</v>
      </c>
      <c r="H84" s="2"/>
      <c r="I84" s="1443" t="s">
        <v>85</v>
      </c>
      <c r="J84" s="1446">
        <f t="shared" si="8"/>
        <v>0.59</v>
      </c>
      <c r="K84" s="1417">
        <f t="shared" si="9"/>
        <v>0.49610753931544871</v>
      </c>
      <c r="L84" s="1417">
        <f t="shared" si="10"/>
        <v>0.40221507863089739</v>
      </c>
      <c r="M84" s="1418">
        <f t="shared" si="11"/>
        <v>0.40221507863089739</v>
      </c>
      <c r="P84" s="1443" t="s">
        <v>85</v>
      </c>
      <c r="Q84" s="1446">
        <f t="shared" si="4"/>
        <v>1.5715091957816354</v>
      </c>
      <c r="R84" s="1417">
        <f t="shared" si="5"/>
        <v>1.3235764335214639</v>
      </c>
      <c r="S84" s="1417">
        <f t="shared" si="6"/>
        <v>1.0745757957051139</v>
      </c>
      <c r="T84" s="1418">
        <f t="shared" si="7"/>
        <v>1.0740196533969497</v>
      </c>
    </row>
    <row r="85" spans="1:20" x14ac:dyDescent="0.25">
      <c r="A85" s="2"/>
      <c r="B85" s="2060"/>
      <c r="C85" s="867" t="s">
        <v>413</v>
      </c>
      <c r="D85" s="1415">
        <f>'Scenarios technology'!AB15</f>
        <v>1.2482999999999997</v>
      </c>
      <c r="E85" s="1415">
        <f>'Scenarios technology'!AB155</f>
        <v>1.0913363975155277</v>
      </c>
      <c r="F85" s="1415">
        <f>'Scenarios technology'!AB295</f>
        <v>1.0913363975155277</v>
      </c>
      <c r="G85" s="1416">
        <f>'Scenarios technology'!AB435</f>
        <v>1.0913363975155277</v>
      </c>
      <c r="H85" s="2"/>
      <c r="I85" s="1443" t="s">
        <v>413</v>
      </c>
      <c r="J85" s="1446">
        <f t="shared" si="8"/>
        <v>0.31207499999999994</v>
      </c>
      <c r="K85" s="1417">
        <f t="shared" si="9"/>
        <v>0.27283409937888192</v>
      </c>
      <c r="L85" s="1417">
        <f t="shared" si="10"/>
        <v>0.27283409937888192</v>
      </c>
      <c r="M85" s="1418">
        <f t="shared" si="11"/>
        <v>0.27283409937888192</v>
      </c>
      <c r="P85" s="1443" t="s">
        <v>413</v>
      </c>
      <c r="Q85" s="1446">
        <f t="shared" si="4"/>
        <v>0.83123513944670135</v>
      </c>
      <c r="R85" s="1417">
        <f t="shared" si="5"/>
        <v>0.72790021433100216</v>
      </c>
      <c r="S85" s="1417">
        <f t="shared" si="6"/>
        <v>0.72891578414591174</v>
      </c>
      <c r="T85" s="1418">
        <f t="shared" si="7"/>
        <v>0.72853853676301661</v>
      </c>
    </row>
    <row r="86" spans="1:20" x14ac:dyDescent="0.25">
      <c r="A86" s="2"/>
      <c r="B86" s="2060"/>
      <c r="C86" s="867" t="s">
        <v>88</v>
      </c>
      <c r="D86" s="1415">
        <f>'Scenarios technology'!AB9</f>
        <v>1.2482999999999997</v>
      </c>
      <c r="E86" s="1415">
        <f>'Scenarios technology'!AB149</f>
        <v>1.0913363975155277</v>
      </c>
      <c r="F86" s="1415">
        <f>'Scenarios technology'!AB289</f>
        <v>1.0913363975155277</v>
      </c>
      <c r="G86" s="1416">
        <f>'Scenarios technology'!AB429</f>
        <v>1.0913363975155277</v>
      </c>
      <c r="H86" s="2"/>
      <c r="I86" s="1443" t="s">
        <v>88</v>
      </c>
      <c r="J86" s="1446">
        <f t="shared" si="8"/>
        <v>0.31207499999999994</v>
      </c>
      <c r="K86" s="1417">
        <f t="shared" si="9"/>
        <v>0.27283409937888192</v>
      </c>
      <c r="L86" s="1417">
        <f t="shared" si="10"/>
        <v>0.27283409937888192</v>
      </c>
      <c r="M86" s="1418">
        <f t="shared" si="11"/>
        <v>0.27283409937888192</v>
      </c>
      <c r="P86" s="1443" t="s">
        <v>88</v>
      </c>
      <c r="Q86" s="1446">
        <f t="shared" si="4"/>
        <v>0.83123513944670135</v>
      </c>
      <c r="R86" s="1417">
        <f t="shared" si="5"/>
        <v>0.72790021433100216</v>
      </c>
      <c r="S86" s="1417">
        <f t="shared" si="6"/>
        <v>0.72891578414591174</v>
      </c>
      <c r="T86" s="1418">
        <f t="shared" si="7"/>
        <v>0.72853853676301661</v>
      </c>
    </row>
    <row r="87" spans="1:20" x14ac:dyDescent="0.25">
      <c r="A87" s="2"/>
      <c r="B87" s="2060"/>
      <c r="C87" s="867" t="s">
        <v>414</v>
      </c>
      <c r="D87" s="1415">
        <f>'Scenarios technology'!AB16</f>
        <v>0.57454181024423057</v>
      </c>
      <c r="E87" s="1415">
        <f>'Scenarios technology'!AB156</f>
        <v>0.50229783658895188</v>
      </c>
      <c r="F87" s="1415">
        <f>'Scenarios technology'!AB296</f>
        <v>0.50229783658895188</v>
      </c>
      <c r="G87" s="1416">
        <f>'Scenarios technology'!AB436</f>
        <v>0.50229783658895188</v>
      </c>
      <c r="H87" s="2"/>
      <c r="I87" s="1443" t="s">
        <v>414</v>
      </c>
      <c r="J87" s="1446">
        <f t="shared" si="8"/>
        <v>0.14363545256105764</v>
      </c>
      <c r="K87" s="1417">
        <f t="shared" si="9"/>
        <v>0.12557445914723797</v>
      </c>
      <c r="L87" s="1417">
        <f t="shared" si="10"/>
        <v>0.12557445914723797</v>
      </c>
      <c r="M87" s="1418">
        <f t="shared" si="11"/>
        <v>0.12557445914723797</v>
      </c>
      <c r="P87" s="1443" t="s">
        <v>414</v>
      </c>
      <c r="Q87" s="1446">
        <f t="shared" si="4"/>
        <v>0.38258378735586263</v>
      </c>
      <c r="R87" s="1417">
        <f t="shared" si="5"/>
        <v>0.33502291662172357</v>
      </c>
      <c r="S87" s="1417">
        <f t="shared" si="6"/>
        <v>0.33549034217638796</v>
      </c>
      <c r="T87" s="1418">
        <f t="shared" si="7"/>
        <v>0.33531671052191508</v>
      </c>
    </row>
    <row r="88" spans="1:20" x14ac:dyDescent="0.25">
      <c r="A88" s="2"/>
      <c r="B88" s="2060"/>
      <c r="C88" s="867" t="s">
        <v>293</v>
      </c>
      <c r="D88" s="1415">
        <f>'Scenarios technology'!AB10</f>
        <v>0.57454181024423057</v>
      </c>
      <c r="E88" s="1415">
        <f>'Scenarios technology'!AB150</f>
        <v>0.50229783658895188</v>
      </c>
      <c r="F88" s="1415">
        <f>'Scenarios technology'!AB290</f>
        <v>0.50229783658895188</v>
      </c>
      <c r="G88" s="1416">
        <f>'Scenarios technology'!AB430</f>
        <v>0.50229783658895188</v>
      </c>
      <c r="H88" s="2"/>
      <c r="I88" s="1443" t="s">
        <v>293</v>
      </c>
      <c r="J88" s="1446">
        <f t="shared" si="8"/>
        <v>0.14363545256105764</v>
      </c>
      <c r="K88" s="1417">
        <f t="shared" si="9"/>
        <v>0.12557445914723797</v>
      </c>
      <c r="L88" s="1417">
        <f t="shared" si="10"/>
        <v>0.12557445914723797</v>
      </c>
      <c r="M88" s="1418">
        <f t="shared" si="11"/>
        <v>0.12557445914723797</v>
      </c>
      <c r="P88" s="1443" t="s">
        <v>293</v>
      </c>
      <c r="Q88" s="1446">
        <f t="shared" si="4"/>
        <v>0.38258378735586263</v>
      </c>
      <c r="R88" s="1417">
        <f t="shared" si="5"/>
        <v>0.33502291662172357</v>
      </c>
      <c r="S88" s="1417">
        <f t="shared" si="6"/>
        <v>0.33549034217638796</v>
      </c>
      <c r="T88" s="1418">
        <f t="shared" si="7"/>
        <v>0.33531671052191508</v>
      </c>
    </row>
    <row r="89" spans="1:20" x14ac:dyDescent="0.25">
      <c r="A89" s="2"/>
      <c r="B89" s="2060"/>
      <c r="C89" s="867" t="s">
        <v>87</v>
      </c>
      <c r="D89" s="1415">
        <f>'Scenarios technology'!AB8</f>
        <v>1.73</v>
      </c>
      <c r="E89" s="1415">
        <f>'Scenarios technology'!AB148</f>
        <v>1.5928295652173912</v>
      </c>
      <c r="F89" s="1415">
        <f>'Scenarios technology'!AB288</f>
        <v>1.4556591304347826</v>
      </c>
      <c r="G89" s="1416">
        <f>'Scenarios technology'!AB428</f>
        <v>1.4556591304347826</v>
      </c>
      <c r="H89" s="2"/>
      <c r="I89" s="1443" t="s">
        <v>87</v>
      </c>
      <c r="J89" s="1446">
        <f t="shared" si="8"/>
        <v>0.4325</v>
      </c>
      <c r="K89" s="1417">
        <f t="shared" si="9"/>
        <v>0.39820739130434779</v>
      </c>
      <c r="L89" s="1417">
        <f t="shared" si="10"/>
        <v>0.36391478260869564</v>
      </c>
      <c r="M89" s="1418">
        <f t="shared" si="11"/>
        <v>0.36391478260869564</v>
      </c>
      <c r="P89" s="1443" t="s">
        <v>87</v>
      </c>
      <c r="Q89" s="1446">
        <f t="shared" si="4"/>
        <v>1.1519961477551819</v>
      </c>
      <c r="R89" s="1417">
        <f t="shared" si="5"/>
        <v>1.0623864324088941</v>
      </c>
      <c r="S89" s="1417">
        <f t="shared" si="6"/>
        <v>0.9722510116271722</v>
      </c>
      <c r="T89" s="1418">
        <f t="shared" si="7"/>
        <v>0.97174782709250995</v>
      </c>
    </row>
    <row r="90" spans="1:20" x14ac:dyDescent="0.25">
      <c r="A90" s="2"/>
      <c r="B90" s="2060"/>
      <c r="C90" s="867" t="s">
        <v>86</v>
      </c>
      <c r="D90" s="1417">
        <f>'Scenarios technology'!AB12</f>
        <v>2.2400000000000002</v>
      </c>
      <c r="E90" s="1417">
        <f>'Scenarios technology'!AB152</f>
        <v>1.8808695652173915</v>
      </c>
      <c r="F90" s="1417">
        <f>'Scenarios technology'!AB292</f>
        <v>1.5217391304347827</v>
      </c>
      <c r="G90" s="1418">
        <f>'Scenarios technology'!AB432</f>
        <v>1.5217391304347827</v>
      </c>
      <c r="H90" s="2"/>
      <c r="I90" s="1443" t="s">
        <v>86</v>
      </c>
      <c r="J90" s="1446">
        <f t="shared" si="8"/>
        <v>0.56000000000000005</v>
      </c>
      <c r="K90" s="1417">
        <f t="shared" si="9"/>
        <v>0.47021739130434786</v>
      </c>
      <c r="L90" s="1417">
        <f t="shared" si="10"/>
        <v>0.38043478260869568</v>
      </c>
      <c r="M90" s="1418">
        <f t="shared" si="11"/>
        <v>0.38043478260869568</v>
      </c>
      <c r="P90" s="1443" t="s">
        <v>86</v>
      </c>
      <c r="Q90" s="1446">
        <f t="shared" si="4"/>
        <v>1.4916019485385017</v>
      </c>
      <c r="R90" s="1417">
        <f t="shared" si="5"/>
        <v>1.2545035268384499</v>
      </c>
      <c r="S90" s="1417">
        <f t="shared" si="6"/>
        <v>1.0163865825895406</v>
      </c>
      <c r="T90" s="1418">
        <f t="shared" si="7"/>
        <v>1.0158605558706366</v>
      </c>
    </row>
    <row r="91" spans="1:20" ht="15.75" thickBot="1" x14ac:dyDescent="0.3">
      <c r="A91" s="864"/>
      <c r="B91" s="2061"/>
      <c r="C91" s="1419" t="s">
        <v>57</v>
      </c>
      <c r="D91" s="1420">
        <f>'Scenarios technology'!AB23</f>
        <v>2.6573510804762321</v>
      </c>
      <c r="E91" s="1420">
        <f>'Scenarios technology'!AB163</f>
        <v>2.2621910246704564</v>
      </c>
      <c r="F91" s="1420">
        <f>'Scenarios technology'!AB303</f>
        <v>1.9291955428766012</v>
      </c>
      <c r="G91" s="1421">
        <f>'Scenarios technology'!AB443</f>
        <v>1.7635920557338147</v>
      </c>
      <c r="H91" s="2"/>
      <c r="I91" s="1445" t="s">
        <v>57</v>
      </c>
      <c r="J91" s="1446">
        <f t="shared" si="8"/>
        <v>0.66433777011905804</v>
      </c>
      <c r="K91" s="1417">
        <f t="shared" si="9"/>
        <v>0.5655477561676141</v>
      </c>
      <c r="L91" s="1417">
        <f t="shared" si="10"/>
        <v>0.48229888571915031</v>
      </c>
      <c r="M91" s="1418">
        <f t="shared" si="11"/>
        <v>0.44089801393345368</v>
      </c>
      <c r="P91" s="1445" t="s">
        <v>57</v>
      </c>
      <c r="Q91" s="1446">
        <f t="shared" si="4"/>
        <v>1.7695134149951965</v>
      </c>
      <c r="R91" s="1417">
        <f t="shared" si="5"/>
        <v>1.5088375458419234</v>
      </c>
      <c r="S91" s="1417">
        <f t="shared" si="6"/>
        <v>1.2885312769811545</v>
      </c>
      <c r="T91" s="1418">
        <f t="shared" si="7"/>
        <v>1.1773132268438915</v>
      </c>
    </row>
    <row r="92" spans="1:20" x14ac:dyDescent="0.25">
      <c r="A92" s="2"/>
      <c r="B92" s="2059" t="s">
        <v>76</v>
      </c>
      <c r="C92" s="1412" t="s">
        <v>415</v>
      </c>
      <c r="D92" s="1426">
        <f>'Scenarios technology'!AB25</f>
        <v>0</v>
      </c>
      <c r="E92" s="1426">
        <f>'Scenarios technology'!AB165</f>
        <v>0</v>
      </c>
      <c r="F92" s="1426">
        <f>'Scenarios technology'!AB305</f>
        <v>0</v>
      </c>
      <c r="G92" s="1427">
        <f>'Scenarios technology'!AB445</f>
        <v>0</v>
      </c>
      <c r="H92" s="2"/>
      <c r="I92" s="1442" t="s">
        <v>415</v>
      </c>
      <c r="J92" s="1447"/>
      <c r="K92" s="1448"/>
      <c r="L92" s="1448"/>
      <c r="M92" s="1449"/>
      <c r="P92" s="1442" t="s">
        <v>415</v>
      </c>
      <c r="Q92" s="1447"/>
      <c r="R92" s="1448"/>
      <c r="S92" s="1448"/>
      <c r="T92" s="1449"/>
    </row>
    <row r="93" spans="1:20" x14ac:dyDescent="0.25">
      <c r="A93" s="2"/>
      <c r="B93" s="2060"/>
      <c r="C93" s="867" t="s">
        <v>83</v>
      </c>
      <c r="D93" s="1428">
        <f>'Scenarios technology'!AB26</f>
        <v>0</v>
      </c>
      <c r="E93" s="1428">
        <f>'Scenarios technology'!AB166</f>
        <v>0</v>
      </c>
      <c r="F93" s="1428">
        <f>'Scenarios technology'!AB306</f>
        <v>0</v>
      </c>
      <c r="G93" s="1429">
        <f>'Scenarios technology'!AB446</f>
        <v>0</v>
      </c>
      <c r="H93" s="2"/>
      <c r="I93" s="1443" t="s">
        <v>83</v>
      </c>
      <c r="J93" s="1450"/>
      <c r="K93" s="1428"/>
      <c r="L93" s="1428"/>
      <c r="M93" s="1429"/>
      <c r="P93" s="1443" t="s">
        <v>83</v>
      </c>
      <c r="Q93" s="1450"/>
      <c r="R93" s="1428"/>
      <c r="S93" s="1428"/>
      <c r="T93" s="1429"/>
    </row>
    <row r="94" spans="1:20" x14ac:dyDescent="0.25">
      <c r="A94" s="2"/>
      <c r="B94" s="2060"/>
      <c r="C94" s="867" t="s">
        <v>95</v>
      </c>
      <c r="D94" s="1428">
        <f>'Scenarios technology'!AB27</f>
        <v>0</v>
      </c>
      <c r="E94" s="1428">
        <f>'Scenarios technology'!AB167</f>
        <v>0</v>
      </c>
      <c r="F94" s="1428">
        <f>'Scenarios technology'!AB307</f>
        <v>0</v>
      </c>
      <c r="G94" s="1429">
        <f>'Scenarios technology'!AB447</f>
        <v>0</v>
      </c>
      <c r="H94" s="2"/>
      <c r="I94" s="1443" t="s">
        <v>95</v>
      </c>
      <c r="J94" s="1450"/>
      <c r="K94" s="1428"/>
      <c r="L94" s="1428"/>
      <c r="M94" s="1429"/>
      <c r="P94" s="1443" t="s">
        <v>95</v>
      </c>
      <c r="Q94" s="1450"/>
      <c r="R94" s="1428"/>
      <c r="S94" s="1428"/>
      <c r="T94" s="1429"/>
    </row>
    <row r="95" spans="1:20" ht="15.75" thickBot="1" x14ac:dyDescent="0.3">
      <c r="A95" s="2"/>
      <c r="B95" s="2061"/>
      <c r="C95" s="1419" t="s">
        <v>57</v>
      </c>
      <c r="D95" s="1430">
        <f>'Scenarios technology'!AB29</f>
        <v>0</v>
      </c>
      <c r="E95" s="1430">
        <f>'Scenarios technology'!AA169</f>
        <v>0</v>
      </c>
      <c r="F95" s="1430">
        <f>'Scenarios technology'!AB309</f>
        <v>0</v>
      </c>
      <c r="G95" s="1431">
        <f>'Scenarios technology'!AB449</f>
        <v>0</v>
      </c>
      <c r="H95" s="2"/>
      <c r="I95" s="1445" t="s">
        <v>57</v>
      </c>
      <c r="J95" s="1450"/>
      <c r="K95" s="1428"/>
      <c r="L95" s="1428"/>
      <c r="M95" s="1429"/>
      <c r="P95" s="1445" t="s">
        <v>57</v>
      </c>
      <c r="Q95" s="1450"/>
      <c r="R95" s="1428"/>
      <c r="S95" s="1428"/>
      <c r="T95" s="1429"/>
    </row>
    <row r="96" spans="1:20" x14ac:dyDescent="0.25">
      <c r="A96" s="2"/>
      <c r="B96" s="2059" t="s">
        <v>69</v>
      </c>
      <c r="C96" s="1412" t="s">
        <v>294</v>
      </c>
      <c r="D96" s="1432">
        <f>'Scenarios technology'!AB31</f>
        <v>2.5</v>
      </c>
      <c r="E96" s="1432">
        <f>'Scenarios technology'!AB171</f>
        <v>2.3563218390804597</v>
      </c>
      <c r="F96" s="1432">
        <f>'Scenarios technology'!AB311</f>
        <v>2.2282608695652173</v>
      </c>
      <c r="G96" s="1433">
        <f>'Scenarios technology'!AB451</f>
        <v>2.2282608695652173</v>
      </c>
      <c r="H96" s="2"/>
      <c r="I96" s="1442" t="s">
        <v>294</v>
      </c>
      <c r="J96" s="1450">
        <f>D96/$D$15</f>
        <v>5.0505050505050511E-2</v>
      </c>
      <c r="K96" s="1428">
        <f>E96/$E$15</f>
        <v>4.7602461395564837E-2</v>
      </c>
      <c r="L96" s="1428">
        <f>F96/$F$15</f>
        <v>4.5015371102327631E-2</v>
      </c>
      <c r="M96" s="1429">
        <f>G96/$G$15</f>
        <v>4.5015371102327624E-2</v>
      </c>
      <c r="P96" s="1442" t="s">
        <v>294</v>
      </c>
      <c r="Q96" s="1450">
        <f t="shared" ref="Q96:Q102" si="12">D96/($D$15*$K$15)</f>
        <v>0.19425019425019427</v>
      </c>
      <c r="R96" s="1428">
        <f t="shared" ref="R96:R102" si="13">E96/($E$15*$L$15)</f>
        <v>0.18308638998294166</v>
      </c>
      <c r="S96" s="1428">
        <f t="shared" ref="S96:S102" si="14">F96/($F$15*$M$15)</f>
        <v>0.1731360427012601</v>
      </c>
      <c r="T96" s="1429">
        <f t="shared" ref="T96:T102" si="15">G96/($G$16*$N$15)</f>
        <v>0.17140468227424743</v>
      </c>
    </row>
    <row r="97" spans="1:20" ht="30" x14ac:dyDescent="0.25">
      <c r="A97" s="2"/>
      <c r="B97" s="2060"/>
      <c r="C97" s="867" t="s">
        <v>298</v>
      </c>
      <c r="D97" s="1428">
        <f>'Scenarios technology'!AB32</f>
        <v>4.0999999999999996</v>
      </c>
      <c r="E97" s="1428">
        <f>'Scenarios technology'!AB172</f>
        <v>4.0999999999999996</v>
      </c>
      <c r="F97" s="1428">
        <f>'Scenarios technology'!AB312</f>
        <v>3.4166666666666665</v>
      </c>
      <c r="G97" s="1429">
        <f>'Scenarios technology'!AB452</f>
        <v>3.4166666666666665</v>
      </c>
      <c r="H97" s="2"/>
      <c r="I97" s="1443" t="s">
        <v>298</v>
      </c>
      <c r="J97" s="1450">
        <f t="shared" ref="J97:J102" si="16">D97/$D$15</f>
        <v>8.2828282828282834E-2</v>
      </c>
      <c r="K97" s="1428">
        <f t="shared" ref="K97:K102" si="17">E97/$E$15</f>
        <v>8.2828282828282807E-2</v>
      </c>
      <c r="L97" s="1428">
        <f t="shared" ref="L97:L102" si="18">F97/$F$15</f>
        <v>6.9023569023569029E-2</v>
      </c>
      <c r="M97" s="1429">
        <f t="shared" ref="M97:M102" si="19">G97/$G$15</f>
        <v>6.9023569023569015E-2</v>
      </c>
      <c r="P97" s="1444" t="s">
        <v>298</v>
      </c>
      <c r="Q97" s="1450">
        <f t="shared" si="12"/>
        <v>0.31857031857031859</v>
      </c>
      <c r="R97" s="1428">
        <f t="shared" si="13"/>
        <v>0.31857031857031848</v>
      </c>
      <c r="S97" s="1428">
        <f t="shared" si="14"/>
        <v>0.26547526547526545</v>
      </c>
      <c r="T97" s="1429">
        <f t="shared" si="15"/>
        <v>0.26282051282051272</v>
      </c>
    </row>
    <row r="98" spans="1:20" x14ac:dyDescent="0.25">
      <c r="A98" s="2"/>
      <c r="B98" s="2060"/>
      <c r="C98" s="867" t="s">
        <v>412</v>
      </c>
      <c r="D98" s="1428">
        <f>'Scenarios technology'!AB33</f>
        <v>9.76</v>
      </c>
      <c r="E98" s="1428">
        <f>'Scenarios technology'!AB173</f>
        <v>8.9113043478260874</v>
      </c>
      <c r="F98" s="1428">
        <f>'Scenarios technology'!AB313</f>
        <v>8.1983999999999995</v>
      </c>
      <c r="G98" s="1429">
        <f>'Scenarios technology'!AB453</f>
        <v>8.1983999999999995</v>
      </c>
      <c r="H98" s="2"/>
      <c r="I98" s="1443" t="s">
        <v>412</v>
      </c>
      <c r="J98" s="1450">
        <f t="shared" si="16"/>
        <v>0.19717171717171719</v>
      </c>
      <c r="K98" s="1428">
        <f t="shared" si="17"/>
        <v>0.18002635046113305</v>
      </c>
      <c r="L98" s="1428">
        <f t="shared" si="18"/>
        <v>0.16562424242424242</v>
      </c>
      <c r="M98" s="1429">
        <f t="shared" si="19"/>
        <v>0.16562424242424242</v>
      </c>
      <c r="P98" s="1443" t="s">
        <v>412</v>
      </c>
      <c r="Q98" s="1450">
        <f t="shared" si="12"/>
        <v>0.75835275835275839</v>
      </c>
      <c r="R98" s="1428">
        <f t="shared" si="13"/>
        <v>0.69240904023512706</v>
      </c>
      <c r="S98" s="1428">
        <f t="shared" si="14"/>
        <v>0.637016317016317</v>
      </c>
      <c r="T98" s="1429">
        <f t="shared" si="15"/>
        <v>0.63064615384615363</v>
      </c>
    </row>
    <row r="99" spans="1:20" x14ac:dyDescent="0.25">
      <c r="A99" s="2"/>
      <c r="B99" s="2060"/>
      <c r="C99" s="867" t="s">
        <v>417</v>
      </c>
      <c r="D99" s="192">
        <f>'Scenarios technology'!AB34</f>
        <v>7.0305351754591356</v>
      </c>
      <c r="E99" s="870">
        <f>'Scenarios technology'!AB174</f>
        <v>6.1465023880411547</v>
      </c>
      <c r="F99" s="871">
        <f>'Scenarios technology'!AB314</f>
        <v>6.1465023880411547</v>
      </c>
      <c r="G99" s="1434">
        <f>'Scenarios technology'!AB454</f>
        <v>6.1465023880411547</v>
      </c>
      <c r="H99" s="865"/>
      <c r="I99" s="1443" t="s">
        <v>417</v>
      </c>
      <c r="J99" s="1450">
        <f t="shared" si="16"/>
        <v>0.14203101364563914</v>
      </c>
      <c r="K99" s="1428">
        <f t="shared" si="17"/>
        <v>0.12417176541497281</v>
      </c>
      <c r="L99" s="1428">
        <f t="shared" si="18"/>
        <v>0.12417176541497284</v>
      </c>
      <c r="M99" s="1429">
        <f t="shared" si="19"/>
        <v>0.12417176541497282</v>
      </c>
      <c r="P99" s="1443" t="s">
        <v>417</v>
      </c>
      <c r="Q99" s="1450">
        <f t="shared" si="12"/>
        <v>0.54627312940630424</v>
      </c>
      <c r="R99" s="1428">
        <f t="shared" si="13"/>
        <v>0.47758371313451076</v>
      </c>
      <c r="S99" s="1428">
        <f t="shared" si="14"/>
        <v>0.47758371313451087</v>
      </c>
      <c r="T99" s="1429">
        <f t="shared" si="15"/>
        <v>0.47280787600316559</v>
      </c>
    </row>
    <row r="100" spans="1:20" x14ac:dyDescent="0.25">
      <c r="A100" s="2"/>
      <c r="B100" s="2060"/>
      <c r="C100" s="867" t="s">
        <v>61</v>
      </c>
      <c r="D100" s="192">
        <f>'Scenarios technology'!AB35</f>
        <v>7.0305351754591356</v>
      </c>
      <c r="E100" s="192">
        <f>'Scenarios technology'!AB175</f>
        <v>6.1465023880411547</v>
      </c>
      <c r="F100" s="192">
        <f>'Scenarios technology'!AB315</f>
        <v>6.1465023880411547</v>
      </c>
      <c r="G100" s="193">
        <f>'Scenarios technology'!AB455</f>
        <v>6.1465023880411547</v>
      </c>
      <c r="H100" s="2"/>
      <c r="I100" s="1443" t="s">
        <v>61</v>
      </c>
      <c r="J100" s="1518">
        <f t="shared" si="16"/>
        <v>0.14203101364563914</v>
      </c>
      <c r="K100" s="1519">
        <f t="shared" si="17"/>
        <v>0.12417176541497281</v>
      </c>
      <c r="L100" s="1519">
        <f t="shared" si="18"/>
        <v>0.12417176541497284</v>
      </c>
      <c r="M100" s="1520">
        <f t="shared" si="19"/>
        <v>0.12417176541497282</v>
      </c>
      <c r="N100" s="7"/>
      <c r="O100" s="7"/>
      <c r="P100" s="1443" t="s">
        <v>61</v>
      </c>
      <c r="Q100" s="1450">
        <f t="shared" si="12"/>
        <v>0.54627312940630424</v>
      </c>
      <c r="R100" s="1428">
        <f t="shared" si="13"/>
        <v>0.47758371313451076</v>
      </c>
      <c r="S100" s="1428">
        <f t="shared" si="14"/>
        <v>0.47758371313451087</v>
      </c>
      <c r="T100" s="1429">
        <f t="shared" si="15"/>
        <v>0.47280787600316559</v>
      </c>
    </row>
    <row r="101" spans="1:20" x14ac:dyDescent="0.25">
      <c r="A101" s="2"/>
      <c r="B101" s="2060"/>
      <c r="C101" s="867" t="s">
        <v>87</v>
      </c>
      <c r="D101" s="872">
        <f>'Scenarios technology'!AB36</f>
        <v>9.76</v>
      </c>
      <c r="E101" s="872">
        <f>'Scenarios technology'!AB176</f>
        <v>8.9113043478260874</v>
      </c>
      <c r="F101" s="192">
        <f>'Scenarios technology'!AB316</f>
        <v>8.1983999999999995</v>
      </c>
      <c r="G101" s="193">
        <f>'Scenarios technology'!AB456</f>
        <v>8.1983999999999995</v>
      </c>
      <c r="H101" s="2"/>
      <c r="I101" s="1443" t="s">
        <v>87</v>
      </c>
      <c r="J101" s="1518">
        <f t="shared" si="16"/>
        <v>0.19717171717171719</v>
      </c>
      <c r="K101" s="1519">
        <f t="shared" si="17"/>
        <v>0.18002635046113305</v>
      </c>
      <c r="L101" s="1519">
        <f t="shared" si="18"/>
        <v>0.16562424242424242</v>
      </c>
      <c r="M101" s="1520">
        <f t="shared" si="19"/>
        <v>0.16562424242424242</v>
      </c>
      <c r="N101" s="7"/>
      <c r="O101" s="7"/>
      <c r="P101" s="1443" t="s">
        <v>87</v>
      </c>
      <c r="Q101" s="1450">
        <f t="shared" si="12"/>
        <v>0.75835275835275839</v>
      </c>
      <c r="R101" s="1428">
        <f t="shared" si="13"/>
        <v>0.69240904023512706</v>
      </c>
      <c r="S101" s="1428">
        <f t="shared" si="14"/>
        <v>0.637016317016317</v>
      </c>
      <c r="T101" s="1429">
        <f t="shared" si="15"/>
        <v>0.63064615384615363</v>
      </c>
    </row>
    <row r="102" spans="1:20" ht="15.75" thickBot="1" x14ac:dyDescent="0.3">
      <c r="A102" s="2"/>
      <c r="B102" s="2061"/>
      <c r="C102" s="1419" t="s">
        <v>93</v>
      </c>
      <c r="D102" s="1408">
        <f>'Scenarios technology'!AB40</f>
        <v>14.538103609158163</v>
      </c>
      <c r="E102" s="1408">
        <f>'Scenarios technology'!AB180</f>
        <v>13.497411156710601</v>
      </c>
      <c r="F102" s="1408">
        <f>'Scenarios technology'!AB320</f>
        <v>12.206816709152912</v>
      </c>
      <c r="G102" s="1409">
        <f>'Scenarios technology'!AB460</f>
        <v>11.266504434354276</v>
      </c>
      <c r="H102" s="2"/>
      <c r="I102" s="1445" t="s">
        <v>93</v>
      </c>
      <c r="J102" s="1518">
        <f t="shared" si="16"/>
        <v>0.29369906281127606</v>
      </c>
      <c r="K102" s="1519">
        <f t="shared" si="17"/>
        <v>0.27267497286284037</v>
      </c>
      <c r="L102" s="1519">
        <f t="shared" si="18"/>
        <v>0.24660235776066494</v>
      </c>
      <c r="M102" s="1520">
        <f t="shared" si="19"/>
        <v>0.22760615018897529</v>
      </c>
      <c r="N102" s="7"/>
      <c r="O102" s="7"/>
      <c r="P102" s="1445" t="s">
        <v>93</v>
      </c>
      <c r="Q102" s="1450">
        <f t="shared" si="12"/>
        <v>1.1296117800433694</v>
      </c>
      <c r="R102" s="1428">
        <f t="shared" si="13"/>
        <v>1.048749895626309</v>
      </c>
      <c r="S102" s="1428">
        <f t="shared" si="14"/>
        <v>0.94847060677178807</v>
      </c>
      <c r="T102" s="1429">
        <f t="shared" si="15"/>
        <v>0.86665418725802101</v>
      </c>
    </row>
    <row r="103" spans="1:20" x14ac:dyDescent="0.25">
      <c r="A103" s="2"/>
      <c r="B103" s="2059" t="s">
        <v>107</v>
      </c>
      <c r="C103" s="1412" t="s">
        <v>430</v>
      </c>
      <c r="D103" s="1435">
        <f>'Scenarios technology'!AB47</f>
        <v>235.35296623997996</v>
      </c>
      <c r="E103" s="1435">
        <f>'Scenarios technology'!AB187</f>
        <v>215.00879295850763</v>
      </c>
      <c r="F103" s="1435">
        <f>'Scenarios technology'!AB327</f>
        <v>175.67783796811122</v>
      </c>
      <c r="G103" s="1436">
        <f>'Scenarios technology'!AB467</f>
        <v>117.28392508821079</v>
      </c>
      <c r="H103" s="2"/>
      <c r="I103" s="1442" t="s">
        <v>430</v>
      </c>
      <c r="J103" s="1521">
        <f>D103/$D$18</f>
        <v>2.6150329582219998</v>
      </c>
      <c r="K103" s="1522">
        <f>E103/$E$18</f>
        <v>2.3889865884278625</v>
      </c>
      <c r="L103" s="1519">
        <f>F103/$F$18</f>
        <v>1.951975977423458</v>
      </c>
      <c r="M103" s="1496">
        <f>G103/$G$18</f>
        <v>1.3031547232023422</v>
      </c>
      <c r="N103" s="7"/>
      <c r="O103" s="7"/>
      <c r="P103" s="1442" t="s">
        <v>430</v>
      </c>
      <c r="Q103" s="191">
        <f>D103/($D$18*$K$18)</f>
        <v>4.3583882637033327</v>
      </c>
      <c r="R103" s="192">
        <f>E103/($E$18*$L$18)</f>
        <v>3.9816443140464375</v>
      </c>
      <c r="S103" s="1428">
        <f>F103/($F$18*$M$18)</f>
        <v>3.2532932957057632</v>
      </c>
      <c r="T103" s="193">
        <f>G103/($G$18*$N$18)</f>
        <v>2.1719245386705701</v>
      </c>
    </row>
    <row r="104" spans="1:20" x14ac:dyDescent="0.25">
      <c r="A104" s="2"/>
      <c r="B104" s="2060"/>
      <c r="C104" s="867" t="s">
        <v>299</v>
      </c>
      <c r="D104" s="192">
        <f>'Scenarios technology'!AB48</f>
        <v>235.35296623997996</v>
      </c>
      <c r="E104" s="192">
        <f>'Scenarios technology'!AB188</f>
        <v>215.00879295850763</v>
      </c>
      <c r="F104" s="192">
        <f>'Scenarios technology'!AB328</f>
        <v>175.67783796811122</v>
      </c>
      <c r="G104" s="193">
        <f>'Scenarios technology'!AB468</f>
        <v>117.28392508821079</v>
      </c>
      <c r="H104" s="2"/>
      <c r="I104" s="1443" t="s">
        <v>299</v>
      </c>
      <c r="J104" s="1521">
        <f>D104/$D$18</f>
        <v>2.6150329582219998</v>
      </c>
      <c r="K104" s="1522">
        <f>E104/$E$18</f>
        <v>2.3889865884278625</v>
      </c>
      <c r="L104" s="1519">
        <f>F104/$F$18</f>
        <v>1.951975977423458</v>
      </c>
      <c r="M104" s="1496">
        <f>G104/$G$18</f>
        <v>1.3031547232023422</v>
      </c>
      <c r="N104" s="7"/>
      <c r="O104" s="7"/>
      <c r="P104" s="1443" t="s">
        <v>299</v>
      </c>
      <c r="Q104" s="191">
        <f>D104/($D$18*$K$18)</f>
        <v>4.3583882637033327</v>
      </c>
      <c r="R104" s="192">
        <f>E104/($E$18*$L$18)</f>
        <v>3.9816443140464375</v>
      </c>
      <c r="S104" s="1428">
        <f>F104/($F$18*$M$18)</f>
        <v>3.2532932957057632</v>
      </c>
      <c r="T104" s="193">
        <f>G104/($G$18*$N$18)</f>
        <v>2.1719245386705701</v>
      </c>
    </row>
    <row r="105" spans="1:20" ht="15.75" thickBot="1" x14ac:dyDescent="0.3">
      <c r="A105" s="864"/>
      <c r="B105" s="2061"/>
      <c r="C105" s="1419" t="s">
        <v>290</v>
      </c>
      <c r="D105" s="1437">
        <f>'Scenarios technology'!AB49</f>
        <v>235.35296623997996</v>
      </c>
      <c r="E105" s="1437">
        <f>'Scenarios technology'!AB189</f>
        <v>215.00879295850763</v>
      </c>
      <c r="F105" s="1437">
        <f>'Scenarios technology'!AB329</f>
        <v>175.67783796811122</v>
      </c>
      <c r="G105" s="1438">
        <f>'Scenarios technology'!AB469</f>
        <v>117.28392508821079</v>
      </c>
      <c r="H105" s="2"/>
      <c r="I105" s="1445" t="s">
        <v>290</v>
      </c>
      <c r="J105" s="1521">
        <f>D105/$D$18</f>
        <v>2.6150329582219998</v>
      </c>
      <c r="K105" s="1522">
        <f>E105/$E$18</f>
        <v>2.3889865884278625</v>
      </c>
      <c r="L105" s="1519">
        <f>F105/$F$18</f>
        <v>1.951975977423458</v>
      </c>
      <c r="M105" s="1496">
        <f>G105/$G$18</f>
        <v>1.3031547232023422</v>
      </c>
      <c r="N105" s="7"/>
      <c r="O105" s="7"/>
      <c r="P105" s="1445" t="s">
        <v>290</v>
      </c>
      <c r="Q105" s="191">
        <f>D105/($D$18*$K$18)</f>
        <v>4.3583882637033327</v>
      </c>
      <c r="R105" s="192">
        <f>E105/($E$18*$L$18)</f>
        <v>3.9816443140464375</v>
      </c>
      <c r="S105" s="1428">
        <f>F105/($F$18*$M$18)</f>
        <v>3.2532932957057632</v>
      </c>
      <c r="T105" s="193">
        <f>G105/($G$18*$N$18)</f>
        <v>2.1719245386705701</v>
      </c>
    </row>
    <row r="106" spans="1:20" x14ac:dyDescent="0.25">
      <c r="A106" s="2"/>
      <c r="B106" s="2059" t="s">
        <v>77</v>
      </c>
      <c r="C106" s="1412" t="s">
        <v>409</v>
      </c>
      <c r="D106" s="1439">
        <f>'Scenarios technology'!AB52</f>
        <v>1518.7136731777036</v>
      </c>
      <c r="E106" s="1439">
        <f>'Scenarios technology'!AB192</f>
        <v>1409.9983732096011</v>
      </c>
      <c r="F106" s="1439">
        <f>'Scenarios technology'!AB332</f>
        <v>1275.1772545223378</v>
      </c>
      <c r="G106" s="1440">
        <f>'Scenarios technology'!AB472</f>
        <v>1176.9481376656636</v>
      </c>
      <c r="H106" s="2"/>
      <c r="I106" s="1442" t="s">
        <v>409</v>
      </c>
      <c r="J106" s="1494">
        <f>D106/$D$20</f>
        <v>2.6644099529433398</v>
      </c>
      <c r="K106" s="876">
        <f>E106/$E$20</f>
        <v>2.473681356508072</v>
      </c>
      <c r="L106" s="1519">
        <f>F106/$F$20</f>
        <v>2.2371530781093645</v>
      </c>
      <c r="M106" s="1495">
        <f>G106/$G$20</f>
        <v>2.064821294150287</v>
      </c>
      <c r="N106" s="7"/>
      <c r="O106" s="7"/>
      <c r="P106" s="1442" t="s">
        <v>409</v>
      </c>
      <c r="Q106" s="1451">
        <f>D106/($D$20*$K$20)</f>
        <v>7.612599865552399</v>
      </c>
      <c r="R106" s="869">
        <f>E106/($E$20*$L$20)</f>
        <v>7.0676610185944924</v>
      </c>
      <c r="S106" s="1428">
        <f>F106/($F$20*$M$20)</f>
        <v>6.3918659374553268</v>
      </c>
      <c r="T106" s="1441">
        <f>G106/($G$20*$N$20)</f>
        <v>5.8994894118579628</v>
      </c>
    </row>
    <row r="107" spans="1:20" x14ac:dyDescent="0.25">
      <c r="A107" s="2"/>
      <c r="B107" s="2060"/>
      <c r="C107" s="867" t="s">
        <v>291</v>
      </c>
      <c r="D107" s="869">
        <f>'Scenarios technology'!AB53</f>
        <v>1518.7136731777036</v>
      </c>
      <c r="E107" s="869">
        <f>'Scenarios technology'!AB193</f>
        <v>1409.9983732096011</v>
      </c>
      <c r="F107" s="869">
        <f>'Scenarios technology'!AB333</f>
        <v>1275.1772545223378</v>
      </c>
      <c r="G107" s="1441">
        <f>'Scenarios technology'!AB473</f>
        <v>1176.9481376656636</v>
      </c>
      <c r="H107" s="2"/>
      <c r="I107" s="1443" t="s">
        <v>291</v>
      </c>
      <c r="J107" s="1494">
        <f>D107/$D$20</f>
        <v>2.6644099529433398</v>
      </c>
      <c r="K107" s="876">
        <f>E107/$E$20</f>
        <v>2.473681356508072</v>
      </c>
      <c r="L107" s="1519">
        <f>F107/$F$20</f>
        <v>2.2371530781093645</v>
      </c>
      <c r="M107" s="1495">
        <f>G107/$G$20</f>
        <v>2.064821294150287</v>
      </c>
      <c r="N107" s="7"/>
      <c r="O107" s="7"/>
      <c r="P107" s="1443" t="s">
        <v>291</v>
      </c>
      <c r="Q107" s="1451">
        <f>D107/($D$20*$K$20)</f>
        <v>7.612599865552399</v>
      </c>
      <c r="R107" s="869">
        <f>E107/($E$20*$L$20)</f>
        <v>7.0676610185944924</v>
      </c>
      <c r="S107" s="1428">
        <f>F107/($F$20*$M$20)</f>
        <v>6.3918659374553268</v>
      </c>
      <c r="T107" s="1441">
        <f>G107/($G$20*$N$20)</f>
        <v>5.8994894118579628</v>
      </c>
    </row>
    <row r="108" spans="1:20" x14ac:dyDescent="0.25">
      <c r="A108" s="2"/>
      <c r="B108" s="2060"/>
      <c r="C108" s="1443" t="s">
        <v>421</v>
      </c>
      <c r="D108" s="869">
        <f>'Scenarios technology'!AB54</f>
        <v>1518.7136731777036</v>
      </c>
      <c r="E108" s="869">
        <f>'Scenarios technology'!AB194</f>
        <v>1409.9983732096011</v>
      </c>
      <c r="F108" s="869">
        <f>'Scenarios technology'!AB334</f>
        <v>1275.1772545223378</v>
      </c>
      <c r="G108" s="1441">
        <f>'Scenarios technology'!AB474</f>
        <v>1176.9481376656636</v>
      </c>
      <c r="H108" s="2"/>
      <c r="I108" s="1443" t="s">
        <v>296</v>
      </c>
      <c r="J108" s="1494">
        <f>D108/$D$20</f>
        <v>2.6644099529433398</v>
      </c>
      <c r="K108" s="876">
        <f>E108/$E$20</f>
        <v>2.473681356508072</v>
      </c>
      <c r="L108" s="1519">
        <f>F108/$F$20</f>
        <v>2.2371530781093645</v>
      </c>
      <c r="M108" s="1495">
        <f>G108/$G$20</f>
        <v>2.064821294150287</v>
      </c>
      <c r="N108" s="7"/>
      <c r="O108" s="7"/>
      <c r="P108" s="1443" t="s">
        <v>296</v>
      </c>
      <c r="Q108" s="1451">
        <f>D108/($D$20*$K$20)</f>
        <v>7.612599865552399</v>
      </c>
      <c r="R108" s="869">
        <f>E108/($E$20*$L$20)</f>
        <v>7.0676610185944924</v>
      </c>
      <c r="S108" s="1428">
        <f>F108/($F$20*$M$20)</f>
        <v>6.3918659374553268</v>
      </c>
      <c r="T108" s="1441">
        <f>G108/($G$20*$N$20)</f>
        <v>5.8994894118579628</v>
      </c>
    </row>
    <row r="109" spans="1:20" ht="15.75" thickBot="1" x14ac:dyDescent="0.3">
      <c r="A109" s="2"/>
      <c r="B109" s="2061"/>
      <c r="C109" s="1419" t="s">
        <v>99</v>
      </c>
      <c r="D109" s="1437">
        <f>'Scenarios technology'!AB55</f>
        <v>1518.7136731777036</v>
      </c>
      <c r="E109" s="1437">
        <f>'Scenarios technology'!AB195</f>
        <v>1409.9983732096011</v>
      </c>
      <c r="F109" s="1437">
        <f>'Scenarios technology'!AB335</f>
        <v>1275.1772545223378</v>
      </c>
      <c r="G109" s="1438">
        <f>'Scenarios technology'!AB475</f>
        <v>1176.9481376656636</v>
      </c>
      <c r="H109" s="2"/>
      <c r="I109" s="1523" t="s">
        <v>99</v>
      </c>
      <c r="J109" s="1497">
        <f>D109/$D$20</f>
        <v>2.6644099529433398</v>
      </c>
      <c r="K109" s="1498">
        <f>E109/$E$20</f>
        <v>2.473681356508072</v>
      </c>
      <c r="L109" s="1524">
        <f>F109/$F$20</f>
        <v>2.2371530781093645</v>
      </c>
      <c r="M109" s="1499">
        <f>G109/$G$20</f>
        <v>2.064821294150287</v>
      </c>
      <c r="N109" s="7"/>
      <c r="O109" s="7"/>
      <c r="P109" s="1523" t="s">
        <v>99</v>
      </c>
      <c r="Q109" s="1452">
        <f>D109/($D$20*$K$20)</f>
        <v>7.612599865552399</v>
      </c>
      <c r="R109" s="1437">
        <f>E109/($E$20*$L$20)</f>
        <v>7.0676610185944924</v>
      </c>
      <c r="S109" s="1430">
        <f>F109/($F$20*$M$20)</f>
        <v>6.3918659374553268</v>
      </c>
      <c r="T109" s="1438">
        <f>G109/($G$20*$N$20)</f>
        <v>5.8994894118579628</v>
      </c>
    </row>
    <row r="110" spans="1:20" x14ac:dyDescent="0.25">
      <c r="A110" s="2"/>
      <c r="D110" s="869"/>
      <c r="E110" s="869"/>
      <c r="F110" s="869"/>
      <c r="H110" s="2"/>
      <c r="I110" s="8"/>
      <c r="J110" s="7"/>
      <c r="K110" s="7"/>
      <c r="L110" s="7"/>
      <c r="M110" s="7"/>
      <c r="N110" s="7"/>
      <c r="O110" s="7"/>
      <c r="P110" s="877"/>
      <c r="Q110" s="7"/>
      <c r="R110" s="7"/>
      <c r="S110" s="7"/>
      <c r="T110" s="73"/>
    </row>
    <row r="111" spans="1:20" s="956" customFormat="1" ht="15.75" thickBot="1" x14ac:dyDescent="0.3">
      <c r="A111" s="2"/>
      <c r="D111" s="869"/>
      <c r="E111" s="869"/>
      <c r="F111" s="869"/>
      <c r="H111" s="2"/>
      <c r="I111" s="8"/>
      <c r="J111" s="7"/>
      <c r="K111" s="7"/>
      <c r="L111" s="7"/>
      <c r="P111" s="877"/>
      <c r="Q111" s="7"/>
      <c r="R111" s="7"/>
      <c r="S111" s="7"/>
    </row>
    <row r="112" spans="1:20" s="956" customFormat="1" ht="21.75" thickBot="1" x14ac:dyDescent="0.4">
      <c r="A112" s="2"/>
      <c r="B112" s="2071" t="s">
        <v>348</v>
      </c>
      <c r="C112" s="2072"/>
      <c r="D112" s="2072"/>
      <c r="E112" s="2072"/>
      <c r="F112" s="2072"/>
      <c r="G112" s="2072"/>
      <c r="H112" s="2072"/>
      <c r="I112" s="2072"/>
      <c r="J112" s="2072"/>
      <c r="K112" s="2072"/>
      <c r="L112" s="2072"/>
      <c r="M112" s="2072"/>
      <c r="N112" s="2072"/>
      <c r="O112" s="2072"/>
      <c r="P112" s="2072"/>
      <c r="Q112" s="2072"/>
      <c r="R112" s="2072"/>
      <c r="S112" s="2072"/>
      <c r="T112" s="2073"/>
    </row>
    <row r="113" spans="1:20" ht="30" x14ac:dyDescent="0.25">
      <c r="A113" s="2"/>
      <c r="B113" s="2060" t="s">
        <v>345</v>
      </c>
      <c r="C113" s="1464" t="s">
        <v>300</v>
      </c>
      <c r="D113" s="869">
        <f>'Scenarios technology'!AB62</f>
        <v>8.486660443247434</v>
      </c>
      <c r="E113" s="869">
        <f>'Scenarios technology'!AB202</f>
        <v>7.4131758346430976</v>
      </c>
      <c r="F113" s="869">
        <f>'Scenarios technology'!AB342</f>
        <v>6.3287146807401813</v>
      </c>
      <c r="G113" s="1441">
        <f>'Scenarios technology'!AB482</f>
        <v>5.5285305824648114</v>
      </c>
      <c r="H113" s="2"/>
      <c r="I113" s="1443" t="s">
        <v>300</v>
      </c>
      <c r="J113" s="1494">
        <f>D113/$D$22</f>
        <v>0.42433302216237168</v>
      </c>
      <c r="K113" s="876">
        <f>E113/$E$22</f>
        <v>0.37065879173215488</v>
      </c>
      <c r="L113" s="876">
        <f>F113/$F$22</f>
        <v>0.31643573403700914</v>
      </c>
      <c r="M113" s="1495">
        <f>G113/$G$22</f>
        <v>0.27642652912324056</v>
      </c>
      <c r="P113" s="1444" t="s">
        <v>300</v>
      </c>
      <c r="Q113" s="1511">
        <f t="shared" ref="Q113:Q120" si="20">D113/($D$22*$K$22)</f>
        <v>1.0063630330132869</v>
      </c>
      <c r="R113" s="1509">
        <f t="shared" ref="R113:R120" si="21">E113/($E$22*$L$22)</f>
        <v>0.87649634518838715</v>
      </c>
      <c r="S113" s="1509">
        <f t="shared" ref="S113:S120" si="22">F113/($F$22*$M$22)</f>
        <v>0.74632955299405623</v>
      </c>
      <c r="T113" s="1512">
        <f t="shared" ref="T113:T120" si="23">G113/($G$22*$N$22)</f>
        <v>0.65044057626872154</v>
      </c>
    </row>
    <row r="114" spans="1:20" x14ac:dyDescent="0.25">
      <c r="A114" s="2"/>
      <c r="B114" s="2060"/>
      <c r="C114" s="1464" t="s">
        <v>85</v>
      </c>
      <c r="D114" s="869">
        <f>'Scenarios technology'!AB63</f>
        <v>26.520813885148229</v>
      </c>
      <c r="E114" s="869">
        <f>'Scenarios technology'!AB203</f>
        <v>20.297981451998961</v>
      </c>
      <c r="F114" s="869">
        <f>'Scenarios technology'!AB343</f>
        <v>15.696216966121485</v>
      </c>
      <c r="G114" s="1441">
        <f>'Scenarios technology'!AB483</f>
        <v>13.711633389049634</v>
      </c>
      <c r="H114" s="8"/>
      <c r="I114" s="1443" t="s">
        <v>85</v>
      </c>
      <c r="J114" s="1494">
        <f t="shared" ref="J114:J120" si="24">D114/$D$22</f>
        <v>1.3260406942574114</v>
      </c>
      <c r="K114" s="876">
        <f t="shared" ref="K114:K120" si="25">E114/$E$22</f>
        <v>1.014899072599948</v>
      </c>
      <c r="L114" s="876">
        <f t="shared" ref="L114:L120" si="26">F114/$F$22</f>
        <v>0.78481084830607439</v>
      </c>
      <c r="M114" s="1495">
        <f t="shared" ref="M114:M120" si="27">G114/$G$22</f>
        <v>0.68558166945248167</v>
      </c>
      <c r="P114" s="1443" t="s">
        <v>85</v>
      </c>
      <c r="Q114" s="1511">
        <f t="shared" si="20"/>
        <v>3.1448844781665213</v>
      </c>
      <c r="R114" s="1509">
        <f t="shared" si="21"/>
        <v>2.3999304689682033</v>
      </c>
      <c r="S114" s="1509">
        <f t="shared" si="22"/>
        <v>1.8510157564336716</v>
      </c>
      <c r="T114" s="1512">
        <f t="shared" si="23"/>
        <v>1.6131958736823453</v>
      </c>
    </row>
    <row r="115" spans="1:20" x14ac:dyDescent="0.25">
      <c r="A115" s="2"/>
      <c r="B115" s="2060"/>
      <c r="C115" s="1464" t="s">
        <v>101</v>
      </c>
      <c r="D115" s="869">
        <f>'Scenarios technology'!AB64</f>
        <v>19.13637686290782</v>
      </c>
      <c r="E115" s="869">
        <f>'Scenarios technology'!AB204</f>
        <v>13.907279497061714</v>
      </c>
      <c r="F115" s="869">
        <f>'Scenarios technology'!AB344</f>
        <v>10.754353919900543</v>
      </c>
      <c r="G115" s="1441">
        <f>'Scenarios technology'!AB484</f>
        <v>9.3946049932949052</v>
      </c>
      <c r="H115" s="2"/>
      <c r="I115" s="1443" t="s">
        <v>101</v>
      </c>
      <c r="J115" s="1494">
        <f t="shared" si="24"/>
        <v>0.95681884314539101</v>
      </c>
      <c r="K115" s="876">
        <f t="shared" si="25"/>
        <v>0.69536397485308565</v>
      </c>
      <c r="L115" s="876">
        <f t="shared" si="26"/>
        <v>0.53771769599502728</v>
      </c>
      <c r="M115" s="1495">
        <f t="shared" si="27"/>
        <v>0.46973024966474525</v>
      </c>
      <c r="P115" s="1443" t="s">
        <v>101</v>
      </c>
      <c r="Q115" s="1511">
        <f t="shared" si="20"/>
        <v>2.2692250254885944</v>
      </c>
      <c r="R115" s="1509">
        <f t="shared" si="21"/>
        <v>1.6443262540358787</v>
      </c>
      <c r="S115" s="1509">
        <f t="shared" si="22"/>
        <v>1.2682341610698944</v>
      </c>
      <c r="T115" s="1512">
        <f t="shared" si="23"/>
        <v>1.1052904916610615</v>
      </c>
    </row>
    <row r="116" spans="1:20" x14ac:dyDescent="0.25">
      <c r="A116" s="2"/>
      <c r="B116" s="2060"/>
      <c r="C116" s="1464" t="s">
        <v>412</v>
      </c>
      <c r="D116" s="869">
        <f>'Scenarios technology'!AB65</f>
        <v>20.206334388684368</v>
      </c>
      <c r="E116" s="869">
        <f>'Scenarios technology'!AB205</f>
        <v>17.650418653912141</v>
      </c>
      <c r="F116" s="869">
        <f>'Scenarios technology'!AB345</f>
        <v>15.068368287476625</v>
      </c>
      <c r="G116" s="1441">
        <f>'Scenarios technology'!AB485</f>
        <v>13.163168053487649</v>
      </c>
      <c r="H116" s="2"/>
      <c r="I116" s="1443" t="s">
        <v>412</v>
      </c>
      <c r="J116" s="1494">
        <f t="shared" si="24"/>
        <v>1.0103167194342184</v>
      </c>
      <c r="K116" s="876">
        <f t="shared" si="25"/>
        <v>0.88252093269560705</v>
      </c>
      <c r="L116" s="876">
        <f t="shared" si="26"/>
        <v>0.75341841437383139</v>
      </c>
      <c r="M116" s="1495">
        <f t="shared" si="27"/>
        <v>0.65815840267438241</v>
      </c>
      <c r="P116" s="1443" t="s">
        <v>412</v>
      </c>
      <c r="Q116" s="1511">
        <f t="shared" si="20"/>
        <v>2.3961024595554452</v>
      </c>
      <c r="R116" s="1509">
        <f t="shared" si="21"/>
        <v>2.0868960599723509</v>
      </c>
      <c r="S116" s="1509">
        <f t="shared" si="22"/>
        <v>1.7769751261763247</v>
      </c>
      <c r="T116" s="1512">
        <f t="shared" si="23"/>
        <v>1.5486680387350515</v>
      </c>
    </row>
    <row r="117" spans="1:20" x14ac:dyDescent="0.25">
      <c r="A117" s="2"/>
      <c r="B117" s="2060"/>
      <c r="C117" s="1464" t="s">
        <v>413</v>
      </c>
      <c r="D117" s="869">
        <f>'Scenarios technology'!AB66</f>
        <v>14.580096657453579</v>
      </c>
      <c r="E117" s="876">
        <f>'Scenarios technology'!AB206</f>
        <v>12.093286519184099</v>
      </c>
      <c r="F117" s="876">
        <f>'Scenarios technology'!AB346</f>
        <v>10.324179763104521</v>
      </c>
      <c r="G117" s="1495">
        <f>'Scenarios technology'!AB486</f>
        <v>9.0188207935631084</v>
      </c>
      <c r="H117" s="8"/>
      <c r="I117" s="1443" t="s">
        <v>413</v>
      </c>
      <c r="J117" s="1494">
        <f t="shared" si="24"/>
        <v>0.72900483287267892</v>
      </c>
      <c r="K117" s="876">
        <f t="shared" si="25"/>
        <v>0.60466432595920494</v>
      </c>
      <c r="L117" s="876">
        <f t="shared" si="26"/>
        <v>0.51620898815522609</v>
      </c>
      <c r="M117" s="1495">
        <f t="shared" si="27"/>
        <v>0.45094103967815541</v>
      </c>
      <c r="P117" s="1443" t="s">
        <v>413</v>
      </c>
      <c r="Q117" s="1511">
        <f t="shared" si="20"/>
        <v>1.7289333527532149</v>
      </c>
      <c r="R117" s="1509">
        <f t="shared" si="21"/>
        <v>1.4298489165529382</v>
      </c>
      <c r="S117" s="1509">
        <f t="shared" si="22"/>
        <v>1.2175047946270987</v>
      </c>
      <c r="T117" s="1512">
        <f t="shared" si="23"/>
        <v>1.0610788719946191</v>
      </c>
    </row>
    <row r="118" spans="1:20" x14ac:dyDescent="0.25">
      <c r="A118" s="864"/>
      <c r="B118" s="2060"/>
      <c r="C118" s="1465" t="s">
        <v>72</v>
      </c>
      <c r="D118" s="869">
        <f>'Scenarios technology'!AB67</f>
        <v>14.580096657453579</v>
      </c>
      <c r="E118" s="876">
        <f>'Scenarios technology'!AB207</f>
        <v>12.093286519184099</v>
      </c>
      <c r="F118" s="876">
        <f>'Scenarios technology'!AB347</f>
        <v>10.324179763104521</v>
      </c>
      <c r="G118" s="1495">
        <f>'Scenarios technology'!AB487</f>
        <v>9.0188207935631084</v>
      </c>
      <c r="H118" s="8"/>
      <c r="I118" s="1489" t="s">
        <v>72</v>
      </c>
      <c r="J118" s="1494">
        <f t="shared" si="24"/>
        <v>0.72900483287267892</v>
      </c>
      <c r="K118" s="876">
        <f t="shared" si="25"/>
        <v>0.60466432595920494</v>
      </c>
      <c r="L118" s="876">
        <f t="shared" si="26"/>
        <v>0.51620898815522609</v>
      </c>
      <c r="M118" s="1495">
        <f t="shared" si="27"/>
        <v>0.45094103967815541</v>
      </c>
      <c r="P118" s="1489" t="s">
        <v>72</v>
      </c>
      <c r="Q118" s="1511">
        <f t="shared" si="20"/>
        <v>1.7289333527532149</v>
      </c>
      <c r="R118" s="1509">
        <f t="shared" si="21"/>
        <v>1.4298489165529382</v>
      </c>
      <c r="S118" s="1509">
        <f t="shared" si="22"/>
        <v>1.2175047946270987</v>
      </c>
      <c r="T118" s="1512">
        <f t="shared" si="23"/>
        <v>1.0610788719946191</v>
      </c>
    </row>
    <row r="119" spans="1:20" x14ac:dyDescent="0.25">
      <c r="A119" s="2"/>
      <c r="B119" s="2060"/>
      <c r="C119" s="1464" t="s">
        <v>87</v>
      </c>
      <c r="D119" s="869">
        <f>'Scenarios technology'!AB68</f>
        <v>20.206334388684368</v>
      </c>
      <c r="E119" s="876">
        <f>'Scenarios technology'!AB208</f>
        <v>17.650418653912141</v>
      </c>
      <c r="F119" s="876">
        <f>'Scenarios technology'!AB348</f>
        <v>15.068368287476625</v>
      </c>
      <c r="G119" s="1495">
        <f>'Scenarios technology'!AB488</f>
        <v>13.163168053487649</v>
      </c>
      <c r="H119" s="8"/>
      <c r="I119" s="1443" t="s">
        <v>87</v>
      </c>
      <c r="J119" s="1494">
        <f t="shared" si="24"/>
        <v>1.0103167194342184</v>
      </c>
      <c r="K119" s="876">
        <f t="shared" si="25"/>
        <v>0.88252093269560705</v>
      </c>
      <c r="L119" s="876">
        <f t="shared" si="26"/>
        <v>0.75341841437383139</v>
      </c>
      <c r="M119" s="1495">
        <f t="shared" si="27"/>
        <v>0.65815840267438241</v>
      </c>
      <c r="P119" s="1443" t="s">
        <v>87</v>
      </c>
      <c r="Q119" s="1511">
        <f t="shared" si="20"/>
        <v>2.3961024595554452</v>
      </c>
      <c r="R119" s="1509">
        <f t="shared" si="21"/>
        <v>2.0868960599723509</v>
      </c>
      <c r="S119" s="1509">
        <f t="shared" si="22"/>
        <v>1.7769751261763247</v>
      </c>
      <c r="T119" s="1512">
        <f t="shared" si="23"/>
        <v>1.5486680387350515</v>
      </c>
    </row>
    <row r="120" spans="1:20" ht="15.75" x14ac:dyDescent="0.25">
      <c r="A120" s="2"/>
      <c r="B120" s="2060"/>
      <c r="C120" s="1466" t="s">
        <v>57</v>
      </c>
      <c r="D120" s="869">
        <f>'Scenarios technology'!AB72</f>
        <v>20.206334388684368</v>
      </c>
      <c r="E120" s="876">
        <f>'Scenarios technology'!AB212</f>
        <v>17.650418653912141</v>
      </c>
      <c r="F120" s="876">
        <f>'Scenarios technology'!AB352</f>
        <v>15.068368287476625</v>
      </c>
      <c r="G120" s="1495">
        <f>'Scenarios technology'!AB492</f>
        <v>13.163168053487649</v>
      </c>
      <c r="H120" s="8"/>
      <c r="I120" s="1490" t="s">
        <v>57</v>
      </c>
      <c r="J120" s="1494">
        <f t="shared" si="24"/>
        <v>1.0103167194342184</v>
      </c>
      <c r="K120" s="876">
        <f t="shared" si="25"/>
        <v>0.88252093269560705</v>
      </c>
      <c r="L120" s="876">
        <f t="shared" si="26"/>
        <v>0.75341841437383139</v>
      </c>
      <c r="M120" s="1495">
        <f t="shared" si="27"/>
        <v>0.65815840267438241</v>
      </c>
      <c r="P120" s="1490" t="s">
        <v>57</v>
      </c>
      <c r="Q120" s="1511">
        <f t="shared" si="20"/>
        <v>2.3961024595554452</v>
      </c>
      <c r="R120" s="1509">
        <f t="shared" si="21"/>
        <v>2.0868960599723509</v>
      </c>
      <c r="S120" s="1509">
        <f t="shared" si="22"/>
        <v>1.7769751261763247</v>
      </c>
      <c r="T120" s="1512">
        <f t="shared" si="23"/>
        <v>1.5486680387350515</v>
      </c>
    </row>
    <row r="121" spans="1:20" ht="30" x14ac:dyDescent="0.25">
      <c r="A121" s="2"/>
      <c r="B121" s="2060" t="s">
        <v>346</v>
      </c>
      <c r="C121" s="1467" t="s">
        <v>301</v>
      </c>
      <c r="D121" s="869">
        <f>'Scenarios technology'!AB74</f>
        <v>10.974575007773536</v>
      </c>
      <c r="E121" s="876">
        <f>'Scenarios technology'!AB214</f>
        <v>9.6917264431639953</v>
      </c>
      <c r="F121" s="876">
        <f>'Scenarios technology'!AB354</f>
        <v>8.2959050693414085</v>
      </c>
      <c r="G121" s="1495">
        <f>'Scenarios technology'!AB494</f>
        <v>7.2332426726013628</v>
      </c>
      <c r="H121" s="8"/>
      <c r="I121" s="1442" t="s">
        <v>301</v>
      </c>
      <c r="J121" s="1494">
        <f>D121/$D$23</f>
        <v>0.36581916692578453</v>
      </c>
      <c r="K121" s="876">
        <f>E121/$E$23</f>
        <v>0.3230575481054665</v>
      </c>
      <c r="L121" s="876">
        <f>F121/$F$23</f>
        <v>0.27653016897804694</v>
      </c>
      <c r="M121" s="1495">
        <f>G121/$G$23</f>
        <v>0.24110808908671205</v>
      </c>
      <c r="P121" s="1508" t="s">
        <v>301</v>
      </c>
      <c r="Q121" s="1511">
        <f t="shared" ref="Q121:Q128" si="28">D121/($D$23*$K$23)</f>
        <v>0.70476826863867581</v>
      </c>
      <c r="R121" s="1509">
        <f t="shared" ref="R121:R128" si="29">E121/($E$23*$L$23)</f>
        <v>0.61267177608826295</v>
      </c>
      <c r="S121" s="1510">
        <f t="shared" ref="S121:S128" si="30">F121/($F$23*$M$23)</f>
        <v>0.51603162149483883</v>
      </c>
      <c r="T121" s="1513">
        <f t="shared" ref="T121:T128" si="31">G121/($G$23*$N$23)</f>
        <v>0.4429870762721011</v>
      </c>
    </row>
    <row r="122" spans="1:20" x14ac:dyDescent="0.25">
      <c r="A122" s="2"/>
      <c r="B122" s="2060"/>
      <c r="C122" s="1464" t="s">
        <v>85</v>
      </c>
      <c r="D122" s="869">
        <f>'Scenarios technology'!AB75</f>
        <v>34.295546899292297</v>
      </c>
      <c r="E122" s="876">
        <f>'Scenarios technology'!AB215</f>
        <v>26.536870022949035</v>
      </c>
      <c r="F122" s="876">
        <f>'Scenarios technology'!AB355</f>
        <v>20.575161382295164</v>
      </c>
      <c r="G122" s="1495">
        <f>'Scenarios technology'!AB495</f>
        <v>17.939589961808938</v>
      </c>
      <c r="H122" s="8"/>
      <c r="I122" s="1443" t="s">
        <v>85</v>
      </c>
      <c r="J122" s="1494">
        <f t="shared" ref="J122:J128" si="32">D122/$D$23</f>
        <v>1.1431848966430767</v>
      </c>
      <c r="K122" s="876">
        <f t="shared" ref="K122:K128" si="33">E122/$E$23</f>
        <v>0.88456233409830121</v>
      </c>
      <c r="L122" s="876">
        <f t="shared" ref="L122:L128" si="34">F122/$F$23</f>
        <v>0.6858387127431721</v>
      </c>
      <c r="M122" s="1495">
        <f t="shared" ref="M122:M128" si="35">G122/$G$23</f>
        <v>0.59798633206029783</v>
      </c>
      <c r="P122" s="1443" t="s">
        <v>85</v>
      </c>
      <c r="Q122" s="1511">
        <f t="shared" si="28"/>
        <v>2.2024008394958616</v>
      </c>
      <c r="R122" s="1509">
        <f t="shared" si="29"/>
        <v>1.6775536726226248</v>
      </c>
      <c r="S122" s="1510">
        <f t="shared" si="30"/>
        <v>1.2798403310883903</v>
      </c>
      <c r="T122" s="1513">
        <f t="shared" si="31"/>
        <v>1.098678264563743</v>
      </c>
    </row>
    <row r="123" spans="1:20" x14ac:dyDescent="0.25">
      <c r="A123" s="2"/>
      <c r="B123" s="2060"/>
      <c r="C123" s="1464" t="s">
        <v>101</v>
      </c>
      <c r="D123" s="869">
        <f>'Scenarios technology'!AB76</f>
        <v>24.746318609472002</v>
      </c>
      <c r="E123" s="876">
        <f>'Scenarios technology'!AB216</f>
        <v>18.181890118438641</v>
      </c>
      <c r="F123" s="876">
        <f>'Scenarios technology'!AB356</f>
        <v>14.09719093090164</v>
      </c>
      <c r="G123" s="1495">
        <f>'Scenarios technology'!AB496</f>
        <v>12.291413914805284</v>
      </c>
      <c r="H123" s="8"/>
      <c r="I123" s="1443" t="s">
        <v>101</v>
      </c>
      <c r="J123" s="1494">
        <f t="shared" si="32"/>
        <v>0.82487728698240004</v>
      </c>
      <c r="K123" s="876">
        <f t="shared" si="33"/>
        <v>0.60606300394795476</v>
      </c>
      <c r="L123" s="876">
        <f t="shared" si="34"/>
        <v>0.46990636436338801</v>
      </c>
      <c r="M123" s="1495">
        <f t="shared" si="35"/>
        <v>0.40971379716017609</v>
      </c>
      <c r="P123" s="1443" t="s">
        <v>101</v>
      </c>
      <c r="Q123" s="1511">
        <f t="shared" si="28"/>
        <v>1.5891658774235164</v>
      </c>
      <c r="R123" s="1509">
        <f t="shared" si="29"/>
        <v>1.149385610172958</v>
      </c>
      <c r="S123" s="1510">
        <f t="shared" si="30"/>
        <v>0.87689001185412818</v>
      </c>
      <c r="T123" s="1513">
        <f t="shared" si="31"/>
        <v>0.75276577322568883</v>
      </c>
    </row>
    <row r="124" spans="1:20" x14ac:dyDescent="0.25">
      <c r="A124" s="2"/>
      <c r="B124" s="2060"/>
      <c r="C124" s="1464" t="s">
        <v>412</v>
      </c>
      <c r="D124" s="869">
        <f>'Scenarios technology'!AB77</f>
        <v>26.129940494698896</v>
      </c>
      <c r="E124" s="876">
        <f>'Scenarios technology'!AB217</f>
        <v>23.075539150390465</v>
      </c>
      <c r="F124" s="876">
        <f>'Scenarios technology'!AB357</f>
        <v>19.752154927003357</v>
      </c>
      <c r="G124" s="1495">
        <f>'Scenarios technology'!AB497</f>
        <v>17.222006363336583</v>
      </c>
      <c r="H124" s="8"/>
      <c r="I124" s="1443" t="s">
        <v>412</v>
      </c>
      <c r="J124" s="1494">
        <f t="shared" si="32"/>
        <v>0.87099801648996322</v>
      </c>
      <c r="K124" s="876">
        <f t="shared" si="33"/>
        <v>0.76918463834634887</v>
      </c>
      <c r="L124" s="876">
        <f t="shared" si="34"/>
        <v>0.65840516423344519</v>
      </c>
      <c r="M124" s="1495">
        <f t="shared" si="35"/>
        <v>0.57406687877788598</v>
      </c>
      <c r="P124" s="1443" t="s">
        <v>412</v>
      </c>
      <c r="Q124" s="1511">
        <f t="shared" si="28"/>
        <v>1.6780196872349424</v>
      </c>
      <c r="R124" s="1509">
        <f t="shared" si="29"/>
        <v>1.4587423240196737</v>
      </c>
      <c r="S124" s="1509">
        <f t="shared" si="30"/>
        <v>1.2286467178448546</v>
      </c>
      <c r="T124" s="1512">
        <f t="shared" si="31"/>
        <v>1.0547311339811933</v>
      </c>
    </row>
    <row r="125" spans="1:20" x14ac:dyDescent="0.25">
      <c r="A125" s="2"/>
      <c r="B125" s="2060"/>
      <c r="C125" s="1464" t="s">
        <v>413</v>
      </c>
      <c r="D125" s="869">
        <f>'Scenarios technology'!AB78</f>
        <v>18.854337988169149</v>
      </c>
      <c r="E125" s="876">
        <f>'Scenarios technology'!AB218</f>
        <v>15.810339233424907</v>
      </c>
      <c r="F125" s="876">
        <f>'Scenarios technology'!AB358</f>
        <v>13.533303293665575</v>
      </c>
      <c r="G125" s="1495">
        <f>'Scenarios technology'!AB498</f>
        <v>11.799757358213073</v>
      </c>
      <c r="H125" s="8"/>
      <c r="I125" s="1443" t="s">
        <v>413</v>
      </c>
      <c r="J125" s="1494">
        <f t="shared" si="32"/>
        <v>0.6284779329389717</v>
      </c>
      <c r="K125" s="876">
        <f t="shared" si="33"/>
        <v>0.52701130778083027</v>
      </c>
      <c r="L125" s="876">
        <f t="shared" si="34"/>
        <v>0.45111010978885252</v>
      </c>
      <c r="M125" s="1495">
        <f t="shared" si="35"/>
        <v>0.39332524527376905</v>
      </c>
      <c r="P125" s="1443" t="s">
        <v>413</v>
      </c>
      <c r="Q125" s="1511">
        <f t="shared" si="28"/>
        <v>1.2107930494655366</v>
      </c>
      <c r="R125" s="1509">
        <f t="shared" si="29"/>
        <v>0.99946574797648524</v>
      </c>
      <c r="S125" s="1509">
        <f t="shared" si="30"/>
        <v>0.84181441137996316</v>
      </c>
      <c r="T125" s="1512">
        <f t="shared" si="31"/>
        <v>0.72265514229666128</v>
      </c>
    </row>
    <row r="126" spans="1:20" x14ac:dyDescent="0.25">
      <c r="A126" s="2"/>
      <c r="B126" s="2060"/>
      <c r="C126" s="1465" t="s">
        <v>72</v>
      </c>
      <c r="D126" s="869">
        <f>'Scenarios technology'!AB79</f>
        <v>18.854337988169149</v>
      </c>
      <c r="E126" s="876">
        <f>'Scenarios technology'!AB219</f>
        <v>15.810339233424907</v>
      </c>
      <c r="F126" s="876">
        <f>'Scenarios technology'!AB359</f>
        <v>13.533303293665575</v>
      </c>
      <c r="G126" s="1495">
        <f>'Scenarios technology'!AB499</f>
        <v>11.799757358213073</v>
      </c>
      <c r="H126" s="8"/>
      <c r="I126" s="1489" t="s">
        <v>72</v>
      </c>
      <c r="J126" s="1494">
        <f t="shared" si="32"/>
        <v>0.6284779329389717</v>
      </c>
      <c r="K126" s="876">
        <f t="shared" si="33"/>
        <v>0.52701130778083027</v>
      </c>
      <c r="L126" s="876">
        <f t="shared" si="34"/>
        <v>0.45111010978885252</v>
      </c>
      <c r="M126" s="1495">
        <f t="shared" si="35"/>
        <v>0.39332524527376905</v>
      </c>
      <c r="P126" s="1489" t="s">
        <v>72</v>
      </c>
      <c r="Q126" s="1511">
        <f t="shared" si="28"/>
        <v>1.2107930494655366</v>
      </c>
      <c r="R126" s="1509">
        <f t="shared" si="29"/>
        <v>0.99946574797648524</v>
      </c>
      <c r="S126" s="1509">
        <f t="shared" si="30"/>
        <v>0.84181441137996316</v>
      </c>
      <c r="T126" s="1512">
        <f t="shared" si="31"/>
        <v>0.72265514229666128</v>
      </c>
    </row>
    <row r="127" spans="1:20" x14ac:dyDescent="0.25">
      <c r="A127" s="2"/>
      <c r="B127" s="2060"/>
      <c r="C127" s="1464" t="s">
        <v>87</v>
      </c>
      <c r="D127" s="869">
        <f>'Scenarios technology'!AB80</f>
        <v>26.129940494698896</v>
      </c>
      <c r="E127" s="876">
        <f>'Scenarios technology'!AB220</f>
        <v>23.075539150390465</v>
      </c>
      <c r="F127" s="876">
        <f>'Scenarios technology'!AB360</f>
        <v>19.752154927003357</v>
      </c>
      <c r="G127" s="1495">
        <f>'Scenarios technology'!AB500</f>
        <v>17.222006363336583</v>
      </c>
      <c r="H127" s="8"/>
      <c r="I127" s="1443" t="s">
        <v>87</v>
      </c>
      <c r="J127" s="1494">
        <f t="shared" si="32"/>
        <v>0.87099801648996322</v>
      </c>
      <c r="K127" s="876">
        <f t="shared" si="33"/>
        <v>0.76918463834634887</v>
      </c>
      <c r="L127" s="876">
        <f t="shared" si="34"/>
        <v>0.65840516423344519</v>
      </c>
      <c r="M127" s="1495">
        <f t="shared" si="35"/>
        <v>0.57406687877788598</v>
      </c>
      <c r="P127" s="1443" t="s">
        <v>87</v>
      </c>
      <c r="Q127" s="1511">
        <f t="shared" si="28"/>
        <v>1.6780196872349424</v>
      </c>
      <c r="R127" s="1509">
        <f t="shared" si="29"/>
        <v>1.4587423240196737</v>
      </c>
      <c r="S127" s="1509">
        <f t="shared" si="30"/>
        <v>1.2286467178448546</v>
      </c>
      <c r="T127" s="1512">
        <f t="shared" si="31"/>
        <v>1.0547311339811933</v>
      </c>
    </row>
    <row r="128" spans="1:20" ht="15.75" x14ac:dyDescent="0.25">
      <c r="A128" s="2"/>
      <c r="B128" s="2060"/>
      <c r="C128" s="1466" t="s">
        <v>57</v>
      </c>
      <c r="D128" s="869">
        <f>'Scenarios technology'!AB84</f>
        <v>26.129940494698896</v>
      </c>
      <c r="E128" s="869">
        <f>'Scenarios technology'!AB224</f>
        <v>23.075539150390465</v>
      </c>
      <c r="F128" s="869">
        <f>'Scenarios technology'!AB364</f>
        <v>19.752154927003357</v>
      </c>
      <c r="G128" s="1441">
        <f>'Scenarios technology'!AB504</f>
        <v>17.222006363336583</v>
      </c>
      <c r="H128" s="2"/>
      <c r="I128" s="1490" t="s">
        <v>57</v>
      </c>
      <c r="J128" s="1494">
        <f t="shared" si="32"/>
        <v>0.87099801648996322</v>
      </c>
      <c r="K128" s="876">
        <f t="shared" si="33"/>
        <v>0.76918463834634887</v>
      </c>
      <c r="L128" s="876">
        <f t="shared" si="34"/>
        <v>0.65840516423344519</v>
      </c>
      <c r="M128" s="1495">
        <f t="shared" si="35"/>
        <v>0.57406687877788598</v>
      </c>
      <c r="P128" s="1490" t="s">
        <v>57</v>
      </c>
      <c r="Q128" s="1511">
        <f t="shared" si="28"/>
        <v>1.6780196872349424</v>
      </c>
      <c r="R128" s="1509">
        <f t="shared" si="29"/>
        <v>1.4587423240196737</v>
      </c>
      <c r="S128" s="1509">
        <f t="shared" si="30"/>
        <v>1.2286467178448546</v>
      </c>
      <c r="T128" s="1512">
        <f t="shared" si="31"/>
        <v>1.0547311339811933</v>
      </c>
    </row>
    <row r="129" spans="1:20" x14ac:dyDescent="0.25">
      <c r="A129" s="2"/>
      <c r="B129" s="2060" t="s">
        <v>18</v>
      </c>
      <c r="C129" s="1467" t="s">
        <v>295</v>
      </c>
      <c r="D129" s="869">
        <f>'Scenarios technology'!AB86</f>
        <v>0.8218135714144672</v>
      </c>
      <c r="E129" s="869">
        <f>'Scenarios technology'!AB226</f>
        <v>0.73303404859790378</v>
      </c>
      <c r="F129" s="869">
        <f>'Scenarios technology'!AB366</f>
        <v>0.73303404859790378</v>
      </c>
      <c r="G129" s="193">
        <f>'Scenarios technology'!AB506</f>
        <v>0.73303404859790378</v>
      </c>
      <c r="H129" s="2"/>
      <c r="I129" s="1442" t="s">
        <v>295</v>
      </c>
      <c r="J129" s="1494">
        <f>D129/$D$24</f>
        <v>0.8218135714144672</v>
      </c>
      <c r="K129" s="876">
        <f>E129/$E$24</f>
        <v>0.73303404859790378</v>
      </c>
      <c r="L129" s="876">
        <f>F129/$F$24</f>
        <v>0.73303404859790378</v>
      </c>
      <c r="M129" s="1496">
        <f>G129/$G$24</f>
        <v>0.73303404859790378</v>
      </c>
      <c r="P129" s="1442" t="s">
        <v>295</v>
      </c>
      <c r="Q129" s="1511">
        <f t="shared" ref="Q129:Q141" si="36">D129/($D$24*$K$24)</f>
        <v>1.7121116071134737</v>
      </c>
      <c r="R129" s="1509">
        <f t="shared" ref="R129:R141" si="37">E129/($E$24*$L$24)</f>
        <v>1.5271542679122996</v>
      </c>
      <c r="S129" s="1509">
        <f t="shared" ref="S129:S141" si="38">F129/($F$24*$M$24)</f>
        <v>1.5271542679122996</v>
      </c>
      <c r="T129" s="1514">
        <f t="shared" ref="T129:T141" si="39">G129/($G$24*$N$24)</f>
        <v>1.5271542679122996</v>
      </c>
    </row>
    <row r="130" spans="1:20" ht="30" x14ac:dyDescent="0.25">
      <c r="A130" s="2"/>
      <c r="B130" s="2060"/>
      <c r="C130" s="1464" t="s">
        <v>302</v>
      </c>
      <c r="D130" s="869">
        <f>'Scenarios technology'!AB99</f>
        <v>1.2984654428348583</v>
      </c>
      <c r="E130" s="869">
        <f>'Scenarios technology'!AB239</f>
        <v>1.2984654428348583</v>
      </c>
      <c r="F130" s="869">
        <f>'Scenarios technology'!AB379</f>
        <v>1.1156282307038901</v>
      </c>
      <c r="G130" s="1441">
        <f>'Scenarios technology'!AB519</f>
        <v>1.1304783121973301</v>
      </c>
      <c r="H130" s="2"/>
      <c r="I130" s="1443" t="s">
        <v>302</v>
      </c>
      <c r="J130" s="1494">
        <f t="shared" ref="J130:J141" si="40">D130/$D$24</f>
        <v>1.2984654428348583</v>
      </c>
      <c r="K130" s="876">
        <f t="shared" ref="K130:K141" si="41">E130/$E$24</f>
        <v>1.2984654428348583</v>
      </c>
      <c r="L130" s="876">
        <f t="shared" ref="L130:L141" si="42">F130/$F$24</f>
        <v>1.1156282307038901</v>
      </c>
      <c r="M130" s="1496">
        <f t="shared" ref="M130:M141" si="43">G130/$G$24</f>
        <v>1.1304783121973301</v>
      </c>
      <c r="P130" s="1444" t="s">
        <v>302</v>
      </c>
      <c r="Q130" s="1511">
        <f t="shared" si="36"/>
        <v>2.7051363392392886</v>
      </c>
      <c r="R130" s="1509">
        <f t="shared" si="37"/>
        <v>2.7051363392392882</v>
      </c>
      <c r="S130" s="1509">
        <f t="shared" si="38"/>
        <v>2.3242254806331042</v>
      </c>
      <c r="T130" s="1514">
        <f t="shared" si="39"/>
        <v>2.3551631504111046</v>
      </c>
    </row>
    <row r="131" spans="1:20" ht="30" x14ac:dyDescent="0.25">
      <c r="A131" s="2"/>
      <c r="B131" s="2060"/>
      <c r="C131" s="1468" t="s">
        <v>311</v>
      </c>
      <c r="D131" s="869">
        <f>'Scenarios technology'!AB100</f>
        <v>0.91271022629107146</v>
      </c>
      <c r="E131" s="869">
        <f>'Scenarios technology'!AB240</f>
        <v>0.83353900692619065</v>
      </c>
      <c r="F131" s="869">
        <f>'Scenarios technology'!AB380</f>
        <v>0.8176983697841258</v>
      </c>
      <c r="G131" s="1441">
        <f>'Scenarios technology'!AB520</f>
        <v>0.82858271915263004</v>
      </c>
      <c r="H131" s="2"/>
      <c r="I131" s="1444" t="s">
        <v>311</v>
      </c>
      <c r="J131" s="1494">
        <f t="shared" si="40"/>
        <v>0.91271022629107146</v>
      </c>
      <c r="K131" s="876">
        <f t="shared" si="41"/>
        <v>0.83353900692619065</v>
      </c>
      <c r="L131" s="876">
        <f t="shared" si="42"/>
        <v>0.8176983697841258</v>
      </c>
      <c r="M131" s="1496">
        <f t="shared" si="43"/>
        <v>0.82858271915263004</v>
      </c>
      <c r="P131" s="1444" t="s">
        <v>311</v>
      </c>
      <c r="Q131" s="1511">
        <f t="shared" si="36"/>
        <v>1.9014796381063992</v>
      </c>
      <c r="R131" s="1509">
        <f t="shared" si="37"/>
        <v>1.7365395977628972</v>
      </c>
      <c r="S131" s="1509">
        <f t="shared" si="38"/>
        <v>1.7035382703835955</v>
      </c>
      <c r="T131" s="1514">
        <f t="shared" si="39"/>
        <v>1.7262139982346461</v>
      </c>
    </row>
    <row r="132" spans="1:20" x14ac:dyDescent="0.25">
      <c r="A132" s="2"/>
      <c r="B132" s="2060"/>
      <c r="C132" s="1464" t="s">
        <v>412</v>
      </c>
      <c r="D132" s="869">
        <f>'Scenarios technology'!AB93</f>
        <v>3.0863615926805017</v>
      </c>
      <c r="E132" s="869">
        <f>'Scenarios technology'!AB233</f>
        <v>2.8875949113501589</v>
      </c>
      <c r="F132" s="869">
        <f>'Scenarios technology'!AB373</f>
        <v>2.6775077536893361</v>
      </c>
      <c r="G132" s="1441">
        <f>'Scenarios technology'!AB513</f>
        <v>2.7131479492735919</v>
      </c>
      <c r="H132" s="2"/>
      <c r="I132" s="1443" t="s">
        <v>412</v>
      </c>
      <c r="J132" s="1494">
        <f t="shared" si="40"/>
        <v>3.0863615926805017</v>
      </c>
      <c r="K132" s="876">
        <f t="shared" si="41"/>
        <v>2.8875949113501589</v>
      </c>
      <c r="L132" s="876">
        <f t="shared" si="42"/>
        <v>2.6775077536893361</v>
      </c>
      <c r="M132" s="1496">
        <f t="shared" si="43"/>
        <v>2.7131479492735919</v>
      </c>
      <c r="P132" s="1443" t="s">
        <v>412</v>
      </c>
      <c r="Q132" s="1511">
        <f t="shared" si="36"/>
        <v>6.429919984751046</v>
      </c>
      <c r="R132" s="1509">
        <f t="shared" si="37"/>
        <v>6.0158227319794984</v>
      </c>
      <c r="S132" s="1509">
        <f t="shared" si="38"/>
        <v>5.5781411535194501</v>
      </c>
      <c r="T132" s="1514">
        <f t="shared" si="39"/>
        <v>5.6523915609866497</v>
      </c>
    </row>
    <row r="133" spans="1:20" x14ac:dyDescent="0.25">
      <c r="A133" s="2"/>
      <c r="B133" s="2060"/>
      <c r="C133" s="1464" t="s">
        <v>84</v>
      </c>
      <c r="D133" s="869">
        <f>'Scenarios technology'!AB92</f>
        <v>4.0666832592615139</v>
      </c>
      <c r="E133" s="869">
        <f>'Scenarios technology'!AB232</f>
        <v>3.4699024496183326</v>
      </c>
      <c r="F133" s="869">
        <f>'Scenarios technology'!AB372</f>
        <v>2.8484125039248256</v>
      </c>
      <c r="G133" s="1441">
        <f>'Scenarios technology'!AB512</f>
        <v>2.8863276056102043</v>
      </c>
      <c r="H133" s="2"/>
      <c r="I133" s="1443" t="s">
        <v>84</v>
      </c>
      <c r="J133" s="1494">
        <f t="shared" si="40"/>
        <v>4.0666832592615139</v>
      </c>
      <c r="K133" s="876">
        <f t="shared" si="41"/>
        <v>3.4699024496183326</v>
      </c>
      <c r="L133" s="876">
        <f t="shared" si="42"/>
        <v>2.8484125039248256</v>
      </c>
      <c r="M133" s="1496">
        <f t="shared" si="43"/>
        <v>2.8863276056102043</v>
      </c>
      <c r="P133" s="1443" t="s">
        <v>84</v>
      </c>
      <c r="Q133" s="1511">
        <f t="shared" si="36"/>
        <v>8.4722567901281547</v>
      </c>
      <c r="R133" s="1509">
        <f t="shared" si="37"/>
        <v>7.2289634367048601</v>
      </c>
      <c r="S133" s="1509">
        <f t="shared" si="38"/>
        <v>5.9341927165100534</v>
      </c>
      <c r="T133" s="1514">
        <f t="shared" si="39"/>
        <v>6.0131825116879263</v>
      </c>
    </row>
    <row r="134" spans="1:20" x14ac:dyDescent="0.25">
      <c r="B134" s="2060"/>
      <c r="C134" s="1464" t="s">
        <v>85</v>
      </c>
      <c r="D134" s="869">
        <f>'Scenarios technology'!AB101</f>
        <v>4.0525296569457572</v>
      </c>
      <c r="E134" s="869">
        <f>'Scenarios technology'!AB241</f>
        <v>3.4627112184473279</v>
      </c>
      <c r="F134" s="869">
        <f>'Scenarios technology'!AB381</f>
        <v>2.8484125039248256</v>
      </c>
      <c r="G134" s="1441">
        <f>'Scenarios technology'!AB521</f>
        <v>2.8863276056102039</v>
      </c>
      <c r="I134" s="1443" t="s">
        <v>85</v>
      </c>
      <c r="J134" s="1494">
        <f t="shared" si="40"/>
        <v>4.0525296569457572</v>
      </c>
      <c r="K134" s="876">
        <f t="shared" si="41"/>
        <v>3.4627112184473279</v>
      </c>
      <c r="L134" s="876">
        <f t="shared" si="42"/>
        <v>2.8484125039248256</v>
      </c>
      <c r="M134" s="1496">
        <f t="shared" si="43"/>
        <v>2.8863276056102039</v>
      </c>
      <c r="P134" s="1443" t="s">
        <v>85</v>
      </c>
      <c r="Q134" s="1511">
        <f t="shared" si="36"/>
        <v>8.4427701186369948</v>
      </c>
      <c r="R134" s="1509">
        <f t="shared" si="37"/>
        <v>7.2139817050986004</v>
      </c>
      <c r="S134" s="1509">
        <f t="shared" si="38"/>
        <v>5.9341927165100534</v>
      </c>
      <c r="T134" s="1514">
        <f t="shared" si="39"/>
        <v>6.0131825116879245</v>
      </c>
    </row>
    <row r="135" spans="1:20" x14ac:dyDescent="0.25">
      <c r="B135" s="2060"/>
      <c r="C135" s="1464" t="s">
        <v>413</v>
      </c>
      <c r="D135" s="869">
        <f>'Scenarios technology'!AB94</f>
        <v>2.2269972116433925</v>
      </c>
      <c r="E135" s="869">
        <f>'Scenarios technology'!AB234</f>
        <v>1.9784523698283776</v>
      </c>
      <c r="F135" s="869">
        <f>'Scenarios technology'!AB374</f>
        <v>2.0073804403359454</v>
      </c>
      <c r="G135" s="1441">
        <f>'Scenarios technology'!AB514</f>
        <v>2.0341005988142928</v>
      </c>
      <c r="I135" s="1443" t="s">
        <v>413</v>
      </c>
      <c r="J135" s="1494">
        <f t="shared" si="40"/>
        <v>2.2269972116433925</v>
      </c>
      <c r="K135" s="876">
        <f t="shared" si="41"/>
        <v>1.9784523698283776</v>
      </c>
      <c r="L135" s="876">
        <f t="shared" si="42"/>
        <v>2.0073804403359454</v>
      </c>
      <c r="M135" s="1496">
        <f t="shared" si="43"/>
        <v>2.0341005988142928</v>
      </c>
      <c r="P135" s="1443" t="s">
        <v>413</v>
      </c>
      <c r="Q135" s="1511">
        <f t="shared" si="36"/>
        <v>4.639577524257068</v>
      </c>
      <c r="R135" s="1509">
        <f t="shared" si="37"/>
        <v>4.1217757704757867</v>
      </c>
      <c r="S135" s="1509">
        <f t="shared" si="38"/>
        <v>4.18204258403322</v>
      </c>
      <c r="T135" s="1514">
        <f t="shared" si="39"/>
        <v>4.2377095808631102</v>
      </c>
    </row>
    <row r="136" spans="1:20" x14ac:dyDescent="0.25">
      <c r="B136" s="2060"/>
      <c r="C136" s="1464" t="s">
        <v>88</v>
      </c>
      <c r="D136" s="869">
        <f>'Scenarios technology'!AB88</f>
        <v>2.2269972116433925</v>
      </c>
      <c r="E136" s="869">
        <f>'Scenarios technology'!AB228</f>
        <v>1.9784523698283776</v>
      </c>
      <c r="F136" s="869">
        <f>'Scenarios technology'!AB368</f>
        <v>2.0073804403359454</v>
      </c>
      <c r="G136" s="1441">
        <f>'Scenarios technology'!AB508</f>
        <v>2.0341005988142928</v>
      </c>
      <c r="I136" s="1443" t="s">
        <v>88</v>
      </c>
      <c r="J136" s="1494">
        <f t="shared" si="40"/>
        <v>2.2269972116433925</v>
      </c>
      <c r="K136" s="876">
        <f t="shared" si="41"/>
        <v>1.9784523698283776</v>
      </c>
      <c r="L136" s="876">
        <f t="shared" si="42"/>
        <v>2.0073804403359454</v>
      </c>
      <c r="M136" s="1496">
        <f t="shared" si="43"/>
        <v>2.0341005988142928</v>
      </c>
      <c r="P136" s="1443" t="s">
        <v>88</v>
      </c>
      <c r="Q136" s="1511">
        <f t="shared" si="36"/>
        <v>4.639577524257068</v>
      </c>
      <c r="R136" s="1509">
        <f t="shared" si="37"/>
        <v>4.1217757704757867</v>
      </c>
      <c r="S136" s="1509">
        <f t="shared" si="38"/>
        <v>4.18204258403322</v>
      </c>
      <c r="T136" s="1514">
        <f t="shared" si="39"/>
        <v>4.2377095808631102</v>
      </c>
    </row>
    <row r="137" spans="1:20" x14ac:dyDescent="0.25">
      <c r="B137" s="2060"/>
      <c r="C137" s="1464" t="s">
        <v>414</v>
      </c>
      <c r="D137" s="869">
        <f>'Scenarios technology'!AB95</f>
        <v>1.024996402616718</v>
      </c>
      <c r="E137" s="869">
        <f>'Scenarios technology'!AB235</f>
        <v>0.91060130260609162</v>
      </c>
      <c r="F137" s="869">
        <f>'Scenarios technology'!AB375</f>
        <v>0.9239157190094327</v>
      </c>
      <c r="G137" s="1441">
        <f>'Scenarios technology'!AB515</f>
        <v>0.9362139231447868</v>
      </c>
      <c r="I137" s="1443" t="s">
        <v>414</v>
      </c>
      <c r="J137" s="1494">
        <f t="shared" si="40"/>
        <v>1.024996402616718</v>
      </c>
      <c r="K137" s="876">
        <f t="shared" si="41"/>
        <v>0.91060130260609162</v>
      </c>
      <c r="L137" s="876">
        <f t="shared" si="42"/>
        <v>0.9239157190094327</v>
      </c>
      <c r="M137" s="1496">
        <f t="shared" si="43"/>
        <v>0.9362139231447868</v>
      </c>
      <c r="P137" s="1443" t="s">
        <v>414</v>
      </c>
      <c r="Q137" s="1511">
        <f t="shared" si="36"/>
        <v>2.1354091721181629</v>
      </c>
      <c r="R137" s="1509">
        <f t="shared" si="37"/>
        <v>1.8970860470960242</v>
      </c>
      <c r="S137" s="1509">
        <f t="shared" si="38"/>
        <v>1.9248244146029849</v>
      </c>
      <c r="T137" s="1514">
        <f t="shared" si="39"/>
        <v>1.950445673218306</v>
      </c>
    </row>
    <row r="138" spans="1:20" x14ac:dyDescent="0.25">
      <c r="B138" s="2060"/>
      <c r="C138" s="1464" t="s">
        <v>293</v>
      </c>
      <c r="D138" s="869">
        <f>'Scenarios technology'!AB89</f>
        <v>1.024996402616718</v>
      </c>
      <c r="E138" s="869">
        <f>'Scenarios technology'!AB229</f>
        <v>0.91060130260609162</v>
      </c>
      <c r="F138" s="869">
        <f>'Scenarios technology'!AB369</f>
        <v>0.9239157190094327</v>
      </c>
      <c r="G138" s="1441">
        <f>'Scenarios technology'!AB509</f>
        <v>0.9362139231447868</v>
      </c>
      <c r="I138" s="1443" t="s">
        <v>293</v>
      </c>
      <c r="J138" s="1494">
        <f t="shared" si="40"/>
        <v>1.024996402616718</v>
      </c>
      <c r="K138" s="876">
        <f t="shared" si="41"/>
        <v>0.91060130260609162</v>
      </c>
      <c r="L138" s="876">
        <f t="shared" si="42"/>
        <v>0.9239157190094327</v>
      </c>
      <c r="M138" s="1496">
        <f t="shared" si="43"/>
        <v>0.9362139231447868</v>
      </c>
      <c r="P138" s="1443" t="s">
        <v>293</v>
      </c>
      <c r="Q138" s="1511">
        <f t="shared" si="36"/>
        <v>2.1354091721181629</v>
      </c>
      <c r="R138" s="1509">
        <f t="shared" si="37"/>
        <v>1.8970860470960242</v>
      </c>
      <c r="S138" s="1509">
        <f t="shared" si="38"/>
        <v>1.9248244146029849</v>
      </c>
      <c r="T138" s="1514">
        <f t="shared" si="39"/>
        <v>1.950445673218306</v>
      </c>
    </row>
    <row r="139" spans="1:20" x14ac:dyDescent="0.25">
      <c r="B139" s="2060"/>
      <c r="C139" s="1464" t="s">
        <v>87</v>
      </c>
      <c r="D139" s="869">
        <f>'Scenarios technology'!AB87</f>
        <v>3.0863615926805017</v>
      </c>
      <c r="E139" s="869">
        <f>'Scenarios technology'!AB227</f>
        <v>2.8875949113501589</v>
      </c>
      <c r="F139" s="869">
        <f>'Scenarios technology'!AB367</f>
        <v>2.6775077536893361</v>
      </c>
      <c r="G139" s="1441">
        <f>'Scenarios technology'!AB507</f>
        <v>2.7131479492735919</v>
      </c>
      <c r="I139" s="1443" t="s">
        <v>87</v>
      </c>
      <c r="J139" s="1494">
        <f t="shared" si="40"/>
        <v>3.0863615926805017</v>
      </c>
      <c r="K139" s="876">
        <f>E139/$E$24</f>
        <v>2.8875949113501589</v>
      </c>
      <c r="L139" s="876">
        <f t="shared" si="42"/>
        <v>2.6775077536893361</v>
      </c>
      <c r="M139" s="1496">
        <f t="shared" si="43"/>
        <v>2.7131479492735919</v>
      </c>
      <c r="P139" s="1443" t="s">
        <v>87</v>
      </c>
      <c r="Q139" s="1511">
        <f t="shared" si="36"/>
        <v>6.429919984751046</v>
      </c>
      <c r="R139" s="1509">
        <f t="shared" si="37"/>
        <v>6.0158227319794984</v>
      </c>
      <c r="S139" s="1509">
        <f t="shared" si="38"/>
        <v>5.5781411535194501</v>
      </c>
      <c r="T139" s="1514">
        <f t="shared" si="39"/>
        <v>5.6523915609866497</v>
      </c>
    </row>
    <row r="140" spans="1:20" x14ac:dyDescent="0.25">
      <c r="B140" s="2060"/>
      <c r="C140" s="1464" t="s">
        <v>86</v>
      </c>
      <c r="D140" s="869">
        <f>'Scenarios technology'!AB91</f>
        <v>4.0666832592615139</v>
      </c>
      <c r="E140" s="869">
        <f>'Scenarios technology'!AB231</f>
        <v>3.4699024496183326</v>
      </c>
      <c r="F140" s="869">
        <f>'Scenarios technology'!AB371</f>
        <v>2.8484125039248256</v>
      </c>
      <c r="G140" s="1441">
        <f>'Scenarios technology'!AB511</f>
        <v>2.8863276056102043</v>
      </c>
      <c r="I140" s="1443" t="s">
        <v>86</v>
      </c>
      <c r="J140" s="1494">
        <f t="shared" si="40"/>
        <v>4.0666832592615139</v>
      </c>
      <c r="K140" s="876">
        <f t="shared" si="41"/>
        <v>3.4699024496183326</v>
      </c>
      <c r="L140" s="876">
        <f t="shared" si="42"/>
        <v>2.8484125039248256</v>
      </c>
      <c r="M140" s="1496">
        <f t="shared" si="43"/>
        <v>2.8863276056102043</v>
      </c>
      <c r="P140" s="1443" t="s">
        <v>86</v>
      </c>
      <c r="Q140" s="1511">
        <f t="shared" si="36"/>
        <v>8.4722567901281547</v>
      </c>
      <c r="R140" s="1509">
        <f t="shared" si="37"/>
        <v>7.2289634367048601</v>
      </c>
      <c r="S140" s="1509">
        <f t="shared" si="38"/>
        <v>5.9341927165100534</v>
      </c>
      <c r="T140" s="1514">
        <f t="shared" si="39"/>
        <v>6.0131825116879263</v>
      </c>
    </row>
    <row r="141" spans="1:20" ht="15.75" x14ac:dyDescent="0.25">
      <c r="B141" s="2060"/>
      <c r="C141" s="1466" t="s">
        <v>57</v>
      </c>
      <c r="D141" s="869">
        <f>'Scenarios technology'!AB102</f>
        <v>4.7999999999999989</v>
      </c>
      <c r="E141" s="1469">
        <f>'Scenarios technology'!AB242</f>
        <v>4.1477017846728321</v>
      </c>
      <c r="F141" s="869">
        <f>'Scenarios technology'!AB382</f>
        <v>3.5840479363704567</v>
      </c>
      <c r="G141" s="1441">
        <f>'Scenarios technology'!AB522</f>
        <v>3.3079625040800806</v>
      </c>
      <c r="I141" s="1490" t="s">
        <v>57</v>
      </c>
      <c r="J141" s="1494">
        <f t="shared" si="40"/>
        <v>4.7999999999999989</v>
      </c>
      <c r="K141" s="876">
        <f t="shared" si="41"/>
        <v>4.1477017846728321</v>
      </c>
      <c r="L141" s="876">
        <f t="shared" si="42"/>
        <v>3.5840479363704567</v>
      </c>
      <c r="M141" s="1496">
        <f t="shared" si="43"/>
        <v>3.3079625040800806</v>
      </c>
      <c r="P141" s="1490" t="s">
        <v>57</v>
      </c>
      <c r="Q141" s="1511">
        <f t="shared" si="36"/>
        <v>10</v>
      </c>
      <c r="R141" s="1509">
        <f t="shared" si="37"/>
        <v>8.641045384735067</v>
      </c>
      <c r="S141" s="1509">
        <f t="shared" si="38"/>
        <v>7.4667665341051181</v>
      </c>
      <c r="T141" s="1514">
        <f t="shared" si="39"/>
        <v>6.8915885501668352</v>
      </c>
    </row>
    <row r="142" spans="1:20" x14ac:dyDescent="0.25">
      <c r="B142" s="2060" t="s">
        <v>334</v>
      </c>
      <c r="C142" s="1467" t="s">
        <v>415</v>
      </c>
      <c r="D142" s="869">
        <f>'Scenarios technology'!AB104</f>
        <v>210.27799999999999</v>
      </c>
      <c r="E142" s="869">
        <f>'Scenarios technology'!AB244</f>
        <v>210.3</v>
      </c>
      <c r="F142" s="869">
        <f>'Scenarios technology'!AB384</f>
        <v>210.3</v>
      </c>
      <c r="G142" s="1441">
        <f>'Scenarios technology'!AB524</f>
        <v>210.27799999999999</v>
      </c>
      <c r="I142" s="1442" t="s">
        <v>415</v>
      </c>
      <c r="J142" s="1494">
        <f>D142/$D$25</f>
        <v>0.28037066666666666</v>
      </c>
      <c r="K142" s="876">
        <f>E142/$E$25</f>
        <v>0.28040000000000004</v>
      </c>
      <c r="L142" s="876">
        <f>F142/$F$25</f>
        <v>0.28040000000000004</v>
      </c>
      <c r="M142" s="1495">
        <f>G142/$G$25</f>
        <v>0.28037066666666666</v>
      </c>
      <c r="P142" s="1442" t="s">
        <v>415</v>
      </c>
      <c r="Q142" s="1511">
        <f>D142/($D$25*$K$25)</f>
        <v>0.75775855855855856</v>
      </c>
      <c r="R142" s="1509">
        <f>E142/($E$25*$L$25)</f>
        <v>0.75783783783783798</v>
      </c>
      <c r="S142" s="1509">
        <f>F142/($F$25*$M$25)</f>
        <v>0.75783783783783787</v>
      </c>
      <c r="T142" s="1512">
        <f>G142/($G$25*$N$25)</f>
        <v>0.75775855855855856</v>
      </c>
    </row>
    <row r="143" spans="1:20" x14ac:dyDescent="0.25">
      <c r="B143" s="2060"/>
      <c r="C143" s="1464" t="s">
        <v>83</v>
      </c>
      <c r="D143" s="869">
        <f>'Scenarios technology'!AB105</f>
        <v>91.575000000000003</v>
      </c>
      <c r="E143" s="869">
        <f>'Scenarios technology'!AB245</f>
        <v>91.6</v>
      </c>
      <c r="F143" s="869">
        <f>'Scenarios technology'!AB385</f>
        <v>91.6</v>
      </c>
      <c r="G143" s="1441">
        <f>'Scenarios technology'!AB525</f>
        <v>91.575000000000003</v>
      </c>
      <c r="I143" s="1443" t="s">
        <v>83</v>
      </c>
      <c r="J143" s="1494">
        <f>D143/$D$25</f>
        <v>0.1221</v>
      </c>
      <c r="K143" s="876">
        <f>E143/$E$25</f>
        <v>0.12213333333333334</v>
      </c>
      <c r="L143" s="876">
        <f>F143/$F$25</f>
        <v>0.12213333333333333</v>
      </c>
      <c r="M143" s="1495">
        <f>G143/$G$25</f>
        <v>0.1221</v>
      </c>
      <c r="P143" s="1443" t="s">
        <v>83</v>
      </c>
      <c r="Q143" s="1511">
        <f>D143/($D$25*$K$25)</f>
        <v>0.33</v>
      </c>
      <c r="R143" s="1509">
        <f>E143/($E$25*$L$25)</f>
        <v>0.33009009009009016</v>
      </c>
      <c r="S143" s="1509">
        <f>F143/($F$25*$M$25)</f>
        <v>0.33009009009009005</v>
      </c>
      <c r="T143" s="1512">
        <f>G143/($G$25*$N$25)</f>
        <v>0.33</v>
      </c>
    </row>
    <row r="144" spans="1:20" x14ac:dyDescent="0.25">
      <c r="B144" s="2060"/>
      <c r="C144" s="1464" t="s">
        <v>95</v>
      </c>
      <c r="D144" s="869">
        <f>'Scenarios technology'!AB106</f>
        <v>210.27799999999999</v>
      </c>
      <c r="E144" s="869">
        <f>'Scenarios technology'!AB246</f>
        <v>210.3</v>
      </c>
      <c r="F144" s="869">
        <f>'Scenarios technology'!AB386</f>
        <v>210.3</v>
      </c>
      <c r="G144" s="1441">
        <f>'Scenarios technology'!AB526</f>
        <v>210.27799999999999</v>
      </c>
      <c r="I144" s="1443" t="s">
        <v>95</v>
      </c>
      <c r="J144" s="1494">
        <f>D144/$D$25</f>
        <v>0.28037066666666666</v>
      </c>
      <c r="K144" s="876">
        <f>E144/$E$25</f>
        <v>0.28040000000000004</v>
      </c>
      <c r="L144" s="876">
        <f>F144/$F$25</f>
        <v>0.28040000000000004</v>
      </c>
      <c r="M144" s="1495">
        <f>G144/$G$25</f>
        <v>0.28037066666666666</v>
      </c>
      <c r="P144" s="1443" t="s">
        <v>95</v>
      </c>
      <c r="Q144" s="1511">
        <f>D144/($D$25*$K$25)</f>
        <v>0.75775855855855856</v>
      </c>
      <c r="R144" s="1509">
        <f>E144/($E$25*$L$25)</f>
        <v>0.75783783783783798</v>
      </c>
      <c r="S144" s="1509">
        <f>F144/($F$25*$M$25)</f>
        <v>0.75783783783783787</v>
      </c>
      <c r="T144" s="1512">
        <f>G144/($G$25*$N$25)</f>
        <v>0.75775855855855856</v>
      </c>
    </row>
    <row r="145" spans="2:20" x14ac:dyDescent="0.25">
      <c r="B145" s="2060"/>
      <c r="C145" s="1470" t="s">
        <v>57</v>
      </c>
      <c r="D145" s="869">
        <f>'Scenarios technology'!AB108</f>
        <v>111.75451</v>
      </c>
      <c r="E145" s="869">
        <f>'Scenarios technology'!AB248</f>
        <v>97.534999999999997</v>
      </c>
      <c r="F145" s="869">
        <f>'Scenarios technology'!AB388</f>
        <v>91.6</v>
      </c>
      <c r="G145" s="1441">
        <f>'Scenarios technology'!AB528</f>
        <v>91.575000000000003</v>
      </c>
      <c r="H145" s="73"/>
      <c r="I145" s="1445" t="s">
        <v>57</v>
      </c>
      <c r="J145" s="1494">
        <f>D145/$D$25</f>
        <v>0.14900601333333333</v>
      </c>
      <c r="K145" s="876">
        <f>E145/$E$25</f>
        <v>0.13004666666666667</v>
      </c>
      <c r="L145" s="876">
        <f>F145/$F$25</f>
        <v>0.12213333333333333</v>
      </c>
      <c r="M145" s="1495">
        <f>G145/$G$25</f>
        <v>0.1221</v>
      </c>
      <c r="P145" s="1445" t="s">
        <v>57</v>
      </c>
      <c r="Q145" s="1511">
        <f>D145/($D$25*$K$25)</f>
        <v>0.40271895495495497</v>
      </c>
      <c r="R145" s="1509">
        <f>E145/($E$25*$L$25)</f>
        <v>0.35147747747747754</v>
      </c>
      <c r="S145" s="1509">
        <f>F145/($F$25*$M$25)</f>
        <v>0.33009009009009005</v>
      </c>
      <c r="T145" s="1512">
        <f>G145/($G$25*$N$25)</f>
        <v>0.33</v>
      </c>
    </row>
    <row r="146" spans="2:20" x14ac:dyDescent="0.25">
      <c r="B146" s="2060" t="s">
        <v>335</v>
      </c>
      <c r="C146" s="1467" t="s">
        <v>415</v>
      </c>
      <c r="D146" s="869">
        <f>'Scenarios technology'!AB110</f>
        <v>210.27799999999999</v>
      </c>
      <c r="E146" s="869">
        <f>'Scenarios technology'!AB250</f>
        <v>210.3</v>
      </c>
      <c r="F146" s="869">
        <f>'Scenarios technology'!AB390</f>
        <v>210.3</v>
      </c>
      <c r="G146" s="1441">
        <f>'Scenarios technology'!AB530</f>
        <v>210.27799999999999</v>
      </c>
      <c r="I146" s="1442" t="s">
        <v>415</v>
      </c>
      <c r="J146" s="1494">
        <f>D146/$D$26</f>
        <v>0.21027799999999999</v>
      </c>
      <c r="K146" s="876">
        <f>E146/$E$26</f>
        <v>0.21030000000000001</v>
      </c>
      <c r="L146" s="876">
        <f>F146/$F$26</f>
        <v>0.21030000000000001</v>
      </c>
      <c r="M146" s="1495">
        <f>G146/$G$26</f>
        <v>0.21027799999999999</v>
      </c>
      <c r="P146" s="1442" t="s">
        <v>415</v>
      </c>
      <c r="Q146" s="1511">
        <f>D146/($D$26*$K$26)</f>
        <v>0.56831891891891895</v>
      </c>
      <c r="R146" s="1509">
        <f>E146/($E$26*$L$26)</f>
        <v>0.56837837837837846</v>
      </c>
      <c r="S146" s="1509">
        <f>F146/($F$26*$M$26)</f>
        <v>0.56837837837837846</v>
      </c>
      <c r="T146" s="1512">
        <f>G146/($G$26*$N$26)</f>
        <v>0.56831891891891895</v>
      </c>
    </row>
    <row r="147" spans="2:20" x14ac:dyDescent="0.25">
      <c r="B147" s="2060"/>
      <c r="C147" s="1464" t="s">
        <v>83</v>
      </c>
      <c r="D147" s="869">
        <f>'Scenarios technology'!AB111</f>
        <v>103.6</v>
      </c>
      <c r="E147" s="869">
        <f>'Scenarios technology'!AB251</f>
        <v>103.6</v>
      </c>
      <c r="F147" s="869">
        <f>'Scenarios technology'!AB391</f>
        <v>103.6</v>
      </c>
      <c r="G147" s="1441">
        <f>'Scenarios technology'!AB531</f>
        <v>103.6</v>
      </c>
      <c r="I147" s="1443" t="s">
        <v>83</v>
      </c>
      <c r="J147" s="1494">
        <f>D147/$D$26</f>
        <v>0.1036</v>
      </c>
      <c r="K147" s="876">
        <f>E147/$E$26</f>
        <v>0.1036</v>
      </c>
      <c r="L147" s="876">
        <f>F147/$F$26</f>
        <v>0.1036</v>
      </c>
      <c r="M147" s="1495">
        <f>G147/$G$26</f>
        <v>0.1036</v>
      </c>
      <c r="P147" s="1443" t="s">
        <v>83</v>
      </c>
      <c r="Q147" s="1511">
        <f>D147/($D$26*$K$26)</f>
        <v>0.27999999999999997</v>
      </c>
      <c r="R147" s="1509">
        <f>E147/($E$26*$L$26)</f>
        <v>0.27999999999999997</v>
      </c>
      <c r="S147" s="1509">
        <f>F147/($F$26*$M$26)</f>
        <v>0.27999999999999997</v>
      </c>
      <c r="T147" s="1512">
        <f>G147/($G$26*$N$26)</f>
        <v>0.27999999999999997</v>
      </c>
    </row>
    <row r="148" spans="2:20" x14ac:dyDescent="0.25">
      <c r="B148" s="2060"/>
      <c r="C148" s="1464" t="s">
        <v>95</v>
      </c>
      <c r="D148" s="869">
        <f>'Scenarios technology'!AB112</f>
        <v>210.27799999999999</v>
      </c>
      <c r="E148" s="869">
        <f>'Scenarios technology'!AB252</f>
        <v>210.3</v>
      </c>
      <c r="F148" s="869">
        <f>'Scenarios technology'!AB392</f>
        <v>210.3</v>
      </c>
      <c r="G148" s="1441">
        <f>'Scenarios technology'!AB532</f>
        <v>210.27799999999999</v>
      </c>
      <c r="I148" s="1443" t="s">
        <v>95</v>
      </c>
      <c r="J148" s="1494">
        <f>D148/$D$26</f>
        <v>0.21027799999999999</v>
      </c>
      <c r="K148" s="876">
        <f>E148/$E$26</f>
        <v>0.21030000000000001</v>
      </c>
      <c r="L148" s="876">
        <f>F148/$F$26</f>
        <v>0.21030000000000001</v>
      </c>
      <c r="M148" s="1495">
        <f>G148/$G$26</f>
        <v>0.21027799999999999</v>
      </c>
      <c r="P148" s="1443" t="s">
        <v>95</v>
      </c>
      <c r="Q148" s="1511">
        <f>D148/($D$26*$K$26)</f>
        <v>0.56831891891891895</v>
      </c>
      <c r="R148" s="1509">
        <f>E148/($E$26*$L$26)</f>
        <v>0.56837837837837846</v>
      </c>
      <c r="S148" s="1509">
        <f>F148/($F$26*$M$26)</f>
        <v>0.56837837837837846</v>
      </c>
      <c r="T148" s="1512">
        <f>G148/($G$26*$N$26)</f>
        <v>0.56831891891891895</v>
      </c>
    </row>
    <row r="149" spans="2:20" x14ac:dyDescent="0.25">
      <c r="B149" s="2060"/>
      <c r="C149" s="1470" t="s">
        <v>57</v>
      </c>
      <c r="D149" s="869">
        <f>'Scenarios technology'!AB114</f>
        <v>103.6</v>
      </c>
      <c r="E149" s="869">
        <f>'Scenarios technology'!AB254</f>
        <v>103.6</v>
      </c>
      <c r="F149" s="869">
        <f>'Scenarios technology'!AB394</f>
        <v>103.6</v>
      </c>
      <c r="G149" s="1441">
        <f>'Scenarios technology'!AB534</f>
        <v>103.6</v>
      </c>
      <c r="I149" s="1445" t="s">
        <v>57</v>
      </c>
      <c r="J149" s="1494">
        <f>D149/$D$26</f>
        <v>0.1036</v>
      </c>
      <c r="K149" s="876">
        <f>E149/$E$26</f>
        <v>0.1036</v>
      </c>
      <c r="L149" s="876">
        <f>F149/$F$26</f>
        <v>0.1036</v>
      </c>
      <c r="M149" s="1495">
        <f>G149/$G$26</f>
        <v>0.1036</v>
      </c>
      <c r="P149" s="1445" t="s">
        <v>57</v>
      </c>
      <c r="Q149" s="1511">
        <f>D149/($D$26*$K$26)</f>
        <v>0.27999999999999997</v>
      </c>
      <c r="R149" s="1509">
        <f>E149/($E$26*$L$26)</f>
        <v>0.27999999999999997</v>
      </c>
      <c r="S149" s="1509">
        <f>F149/($F$26*$M$26)</f>
        <v>0.27999999999999997</v>
      </c>
      <c r="T149" s="1512">
        <f>G149/($G$26*$N$26)</f>
        <v>0.27999999999999997</v>
      </c>
    </row>
    <row r="150" spans="2:20" x14ac:dyDescent="0.25">
      <c r="B150" s="2077" t="s">
        <v>338</v>
      </c>
      <c r="C150" s="1467" t="s">
        <v>429</v>
      </c>
      <c r="D150" s="869">
        <f>'Scenarios technology'!AB116</f>
        <v>162</v>
      </c>
      <c r="E150" s="869">
        <f>'Scenarios technology'!AB256</f>
        <v>147.99653905259058</v>
      </c>
      <c r="F150" s="869">
        <f>'Scenarios technology'!AB396</f>
        <v>120.92394757334259</v>
      </c>
      <c r="G150" s="1441">
        <f>'Scenarios technology'!AB536</f>
        <v>80.729791376058586</v>
      </c>
      <c r="I150" s="1442" t="s">
        <v>429</v>
      </c>
      <c r="J150" s="1494">
        <f>D150/$D$27</f>
        <v>6.48</v>
      </c>
      <c r="K150" s="876">
        <f>E150/$E$27</f>
        <v>5.9198615621036232</v>
      </c>
      <c r="L150" s="876">
        <f>F150/$F$27</f>
        <v>4.8369579029337038</v>
      </c>
      <c r="M150" s="1495">
        <f>G150/$G$27</f>
        <v>3.2291916550423436</v>
      </c>
      <c r="P150" s="1442" t="s">
        <v>429</v>
      </c>
      <c r="Q150" s="1511">
        <f>D150/($D$27*$K$27)</f>
        <v>10.8</v>
      </c>
      <c r="R150" s="1509">
        <f>E150/($E$27*$L$27)</f>
        <v>9.8664359368393715</v>
      </c>
      <c r="S150" s="1509">
        <f>F150/($F$27*$M$27)</f>
        <v>8.061596504889506</v>
      </c>
      <c r="T150" s="1512">
        <f>G150/($G$27*$N$27)</f>
        <v>5.3819860917372386</v>
      </c>
    </row>
    <row r="151" spans="2:20" x14ac:dyDescent="0.25">
      <c r="B151" s="2077"/>
      <c r="C151" s="1464" t="s">
        <v>299</v>
      </c>
      <c r="D151" s="869">
        <f>'Scenarios technology'!AB117</f>
        <v>162</v>
      </c>
      <c r="E151" s="869">
        <f>'Scenarios technology'!AB257</f>
        <v>147.99653905259058</v>
      </c>
      <c r="F151" s="869">
        <f>'Scenarios technology'!AB397</f>
        <v>120.92394757334259</v>
      </c>
      <c r="G151" s="1441">
        <f>'Scenarios technology'!AB537</f>
        <v>80.729791376058586</v>
      </c>
      <c r="I151" s="1443" t="s">
        <v>299</v>
      </c>
      <c r="J151" s="1494">
        <f>D151/$D$27</f>
        <v>6.48</v>
      </c>
      <c r="K151" s="876">
        <f>E151/$E$27</f>
        <v>5.9198615621036232</v>
      </c>
      <c r="L151" s="876">
        <f>F151/$F$27</f>
        <v>4.8369579029337038</v>
      </c>
      <c r="M151" s="1495">
        <f>G151/$G$27</f>
        <v>3.2291916550423436</v>
      </c>
      <c r="P151" s="1443" t="s">
        <v>299</v>
      </c>
      <c r="Q151" s="1511">
        <f>D151/($D$27*$K$27)</f>
        <v>10.8</v>
      </c>
      <c r="R151" s="1509">
        <f>E151/($E$27*$L$27)</f>
        <v>9.8664359368393715</v>
      </c>
      <c r="S151" s="1509">
        <f>F151/($F$27*$M$27)</f>
        <v>8.061596504889506</v>
      </c>
      <c r="T151" s="1512">
        <f>G151/($G$27*$N$27)</f>
        <v>5.3819860917372386</v>
      </c>
    </row>
    <row r="152" spans="2:20" x14ac:dyDescent="0.25">
      <c r="B152" s="2077"/>
      <c r="C152" s="1471" t="s">
        <v>57</v>
      </c>
      <c r="D152" s="869">
        <f>'Scenarios technology'!AB118</f>
        <v>162</v>
      </c>
      <c r="E152" s="869">
        <f>'Scenarios technology'!AB258</f>
        <v>147.99653905259058</v>
      </c>
      <c r="F152" s="869">
        <f>'Scenarios technology'!AB398</f>
        <v>120.92394757334259</v>
      </c>
      <c r="G152" s="1441">
        <f>'Scenarios technology'!AB538</f>
        <v>80.729791376058586</v>
      </c>
      <c r="I152" s="1491" t="s">
        <v>57</v>
      </c>
      <c r="J152" s="1494">
        <f>D152/$D$27</f>
        <v>6.48</v>
      </c>
      <c r="K152" s="876">
        <f>E152/$E$27</f>
        <v>5.9198615621036232</v>
      </c>
      <c r="L152" s="876">
        <f>F152/$F$27</f>
        <v>4.8369579029337038</v>
      </c>
      <c r="M152" s="1495">
        <f>G152/$G$27</f>
        <v>3.2291916550423436</v>
      </c>
      <c r="P152" s="1491" t="s">
        <v>57</v>
      </c>
      <c r="Q152" s="1511">
        <f>D152/($D$27*$K$27)</f>
        <v>10.8</v>
      </c>
      <c r="R152" s="1509">
        <f>E152/($E$27*$L$27)</f>
        <v>9.8664359368393715</v>
      </c>
      <c r="S152" s="1509">
        <f>F152/($F$27*$M$27)</f>
        <v>8.061596504889506</v>
      </c>
      <c r="T152" s="1512">
        <f>G152/($G$27*$N$27)</f>
        <v>5.3819860917372386</v>
      </c>
    </row>
    <row r="153" spans="2:20" x14ac:dyDescent="0.25">
      <c r="B153" s="2060" t="s">
        <v>339</v>
      </c>
      <c r="C153" s="1467" t="s">
        <v>429</v>
      </c>
      <c r="D153" s="869">
        <f>'Scenarios technology'!AB120</f>
        <v>324</v>
      </c>
      <c r="E153" s="869">
        <f>'Scenarios technology'!AB260</f>
        <v>295.99307810518116</v>
      </c>
      <c r="F153" s="869">
        <f>'Scenarios technology'!AB400</f>
        <v>241.84789514668518</v>
      </c>
      <c r="G153" s="1441">
        <f>'Scenarios technology'!AB540</f>
        <v>161.45958275211717</v>
      </c>
      <c r="I153" s="1442" t="s">
        <v>429</v>
      </c>
      <c r="J153" s="1494">
        <f>D153/$D$28</f>
        <v>6.48</v>
      </c>
      <c r="K153" s="876">
        <f>E153/$E$28</f>
        <v>5.9198615621036232</v>
      </c>
      <c r="L153" s="876">
        <f>F153/$F$28</f>
        <v>4.8369579029337038</v>
      </c>
      <c r="M153" s="1495">
        <f>G153/$G$28</f>
        <v>3.2291916550423436</v>
      </c>
      <c r="P153" s="1442" t="s">
        <v>429</v>
      </c>
      <c r="Q153" s="1511">
        <f>D153/($D$28*$K$28)</f>
        <v>10.8</v>
      </c>
      <c r="R153" s="1509">
        <f>E153/($E$28*$L$28)</f>
        <v>9.8664359368393715</v>
      </c>
      <c r="S153" s="1509">
        <f>F153/($F$28*$M$28)</f>
        <v>8.061596504889506</v>
      </c>
      <c r="T153" s="1512">
        <f>G153/($G$28*$N$28)</f>
        <v>5.3819860917372386</v>
      </c>
    </row>
    <row r="154" spans="2:20" x14ac:dyDescent="0.25">
      <c r="B154" s="2060"/>
      <c r="C154" s="1464" t="s">
        <v>299</v>
      </c>
      <c r="D154" s="869">
        <f>'Scenarios technology'!AB121</f>
        <v>324</v>
      </c>
      <c r="E154" s="869">
        <f>'Scenarios technology'!AB261</f>
        <v>295.99307810518116</v>
      </c>
      <c r="F154" s="869">
        <f>'Scenarios technology'!AB401</f>
        <v>241.84789514668518</v>
      </c>
      <c r="G154" s="1441">
        <f>'Scenarios technology'!AB541</f>
        <v>161.45958275211717</v>
      </c>
      <c r="I154" s="1443" t="s">
        <v>299</v>
      </c>
      <c r="J154" s="1494">
        <f>D154/$D$28</f>
        <v>6.48</v>
      </c>
      <c r="K154" s="876">
        <f>E154/$E$28</f>
        <v>5.9198615621036232</v>
      </c>
      <c r="L154" s="876">
        <f>F154/$F$28</f>
        <v>4.8369579029337038</v>
      </c>
      <c r="M154" s="1495">
        <f>G154/$G$28</f>
        <v>3.2291916550423436</v>
      </c>
      <c r="P154" s="1443" t="s">
        <v>299</v>
      </c>
      <c r="Q154" s="1511">
        <f>D154/($D$28*$K$28)</f>
        <v>10.8</v>
      </c>
      <c r="R154" s="1509">
        <f>E154/($E$28*$L$28)</f>
        <v>9.8664359368393715</v>
      </c>
      <c r="S154" s="1509">
        <f>F154/($F$28*$M$28)</f>
        <v>8.061596504889506</v>
      </c>
      <c r="T154" s="1512">
        <f>G154/($G$28*$N$28)</f>
        <v>5.3819860917372386</v>
      </c>
    </row>
    <row r="155" spans="2:20" x14ac:dyDescent="0.25">
      <c r="B155" s="2060"/>
      <c r="C155" s="1471" t="s">
        <v>57</v>
      </c>
      <c r="D155" s="869">
        <f>'Scenarios technology'!AB122</f>
        <v>324</v>
      </c>
      <c r="E155" s="869">
        <f>'Scenarios technology'!AB262</f>
        <v>295.99307810518116</v>
      </c>
      <c r="F155" s="869">
        <f>'Scenarios technology'!AB402</f>
        <v>241.84789514668518</v>
      </c>
      <c r="G155" s="1441">
        <f>'Scenarios technology'!AB542</f>
        <v>161.45958275211717</v>
      </c>
      <c r="I155" s="1491" t="s">
        <v>57</v>
      </c>
      <c r="J155" s="1494">
        <f>D155/$D$28</f>
        <v>6.48</v>
      </c>
      <c r="K155" s="876">
        <f>E155/$E$28</f>
        <v>5.9198615621036232</v>
      </c>
      <c r="L155" s="876">
        <f>F155/$F$28</f>
        <v>4.8369579029337038</v>
      </c>
      <c r="M155" s="1495">
        <f>G155/$G$28</f>
        <v>3.2291916550423436</v>
      </c>
      <c r="P155" s="1491" t="s">
        <v>57</v>
      </c>
      <c r="Q155" s="1511">
        <f>D155/($D$28*$K$28)</f>
        <v>10.8</v>
      </c>
      <c r="R155" s="1509">
        <f>E155/($E$28*$L$28)</f>
        <v>9.8664359368393715</v>
      </c>
      <c r="S155" s="1509">
        <f>F155/($F$28*$M$28)</f>
        <v>8.061596504889506</v>
      </c>
      <c r="T155" s="1512">
        <f>G155/($G$28*$N$28)</f>
        <v>5.3819860917372386</v>
      </c>
    </row>
    <row r="156" spans="2:20" x14ac:dyDescent="0.25">
      <c r="B156" s="2060" t="s">
        <v>340</v>
      </c>
      <c r="C156" s="1467" t="s">
        <v>409</v>
      </c>
      <c r="D156" s="869">
        <f>'Scenarios technology'!AB124</f>
        <v>2720</v>
      </c>
      <c r="E156" s="869">
        <f>'Scenarios technology'!AB264</f>
        <v>2525.292056603063</v>
      </c>
      <c r="F156" s="869">
        <f>'Scenarios technology'!AB404</f>
        <v>2283.8288701539286</v>
      </c>
      <c r="G156" s="1441">
        <f>'Scenarios technology'!AB544</f>
        <v>2107.9015689325547</v>
      </c>
      <c r="I156" s="1442" t="s">
        <v>409</v>
      </c>
      <c r="J156" s="1494">
        <f>D156/$D$29</f>
        <v>0.13600000000000001</v>
      </c>
      <c r="K156" s="876">
        <f>E156/$E$29</f>
        <v>0.12626460283015314</v>
      </c>
      <c r="L156" s="876">
        <f>F156/$F$29</f>
        <v>0.11419144350769643</v>
      </c>
      <c r="M156" s="1495">
        <f>G156/$G$29</f>
        <v>0.10539507844662774</v>
      </c>
      <c r="P156" s="1442" t="s">
        <v>409</v>
      </c>
      <c r="Q156" s="1511">
        <f>D156/($D$29*$K$29)</f>
        <v>0.22666666666666666</v>
      </c>
      <c r="R156" s="1509">
        <f>E156/($E$29*$L$29)</f>
        <v>0.21044100471692193</v>
      </c>
      <c r="S156" s="1509">
        <f>F156/($F$29*$M$29)</f>
        <v>0.1903190725128274</v>
      </c>
      <c r="T156" s="1512">
        <f>G156/($G$29*$N$29)</f>
        <v>0.17565846407771291</v>
      </c>
    </row>
    <row r="157" spans="2:20" x14ac:dyDescent="0.25">
      <c r="B157" s="2060"/>
      <c r="C157" s="1464" t="s">
        <v>100</v>
      </c>
      <c r="D157" s="869">
        <f>'Scenarios technology'!AB125</f>
        <v>2720</v>
      </c>
      <c r="E157" s="869">
        <f>'Scenarios technology'!AB265</f>
        <v>2525.292056603063</v>
      </c>
      <c r="F157" s="869">
        <f>'Scenarios technology'!AB405</f>
        <v>2283.8288701539286</v>
      </c>
      <c r="G157" s="1441">
        <f>'Scenarios technology'!AB545</f>
        <v>2107.9015689325547</v>
      </c>
      <c r="I157" s="1443" t="s">
        <v>100</v>
      </c>
      <c r="J157" s="1494">
        <f>D157/$D$29</f>
        <v>0.13600000000000001</v>
      </c>
      <c r="K157" s="876">
        <f>E157/$E$29</f>
        <v>0.12626460283015314</v>
      </c>
      <c r="L157" s="876">
        <f>F157/$F$29</f>
        <v>0.11419144350769643</v>
      </c>
      <c r="M157" s="1495">
        <f>G157/$G$29</f>
        <v>0.10539507844662774</v>
      </c>
      <c r="P157" s="1443" t="s">
        <v>100</v>
      </c>
      <c r="Q157" s="1511">
        <f>D157/($D$29*$K$29)</f>
        <v>0.22666666666666666</v>
      </c>
      <c r="R157" s="1509">
        <f>E157/($E$29*$L$29)</f>
        <v>0.21044100471692193</v>
      </c>
      <c r="S157" s="1509">
        <f>F157/($F$29*$M$29)</f>
        <v>0.1903190725128274</v>
      </c>
      <c r="T157" s="1512">
        <f>G157/($G$29*$N$29)</f>
        <v>0.17565846407771291</v>
      </c>
    </row>
    <row r="158" spans="2:20" x14ac:dyDescent="0.25">
      <c r="B158" s="2060"/>
      <c r="C158" s="1464" t="s">
        <v>421</v>
      </c>
      <c r="D158" s="869">
        <f>'Scenarios technology'!AB126</f>
        <v>2720</v>
      </c>
      <c r="E158" s="869">
        <f>'Scenarios technology'!AB266</f>
        <v>2525.292056603063</v>
      </c>
      <c r="F158" s="869">
        <f>'Scenarios technology'!AB406</f>
        <v>2283.8288701539286</v>
      </c>
      <c r="G158" s="1441">
        <f>'Scenarios technology'!AB546</f>
        <v>2107.9015689325547</v>
      </c>
      <c r="I158" s="1443" t="s">
        <v>297</v>
      </c>
      <c r="J158" s="1494">
        <f>D158/$D$29</f>
        <v>0.13600000000000001</v>
      </c>
      <c r="K158" s="876">
        <f>E158/$E$29</f>
        <v>0.12626460283015314</v>
      </c>
      <c r="L158" s="876">
        <f>F158/$F$29</f>
        <v>0.11419144350769643</v>
      </c>
      <c r="M158" s="1495">
        <f>G158/$G$29</f>
        <v>0.10539507844662774</v>
      </c>
      <c r="P158" s="1443" t="s">
        <v>297</v>
      </c>
      <c r="Q158" s="1511">
        <f>D158/($D$29*$K$29)</f>
        <v>0.22666666666666666</v>
      </c>
      <c r="R158" s="1509">
        <f>E158/($E$29*$L$29)</f>
        <v>0.21044100471692193</v>
      </c>
      <c r="S158" s="1509">
        <f>F158/($F$29*$M$29)</f>
        <v>0.1903190725128274</v>
      </c>
      <c r="T158" s="1512">
        <f>G158/($G$29*$N$29)</f>
        <v>0.17565846407771291</v>
      </c>
    </row>
    <row r="159" spans="2:20" x14ac:dyDescent="0.25">
      <c r="B159" s="2060"/>
      <c r="C159" s="1472" t="s">
        <v>57</v>
      </c>
      <c r="D159" s="869">
        <f>'Scenarios technology'!AB127</f>
        <v>2720</v>
      </c>
      <c r="E159" s="869">
        <f>'Scenarios technology'!AB267</f>
        <v>2525.292056603063</v>
      </c>
      <c r="F159" s="869">
        <f>'Scenarios technology'!AB407</f>
        <v>2283.8288701539286</v>
      </c>
      <c r="G159" s="1441">
        <f>'Scenarios technology'!AB547</f>
        <v>2107.9015689325547</v>
      </c>
      <c r="I159" s="1492" t="s">
        <v>57</v>
      </c>
      <c r="J159" s="1494">
        <f>D159/$D$29</f>
        <v>0.13600000000000001</v>
      </c>
      <c r="K159" s="876">
        <f>E159/$E$29</f>
        <v>0.12626460283015314</v>
      </c>
      <c r="L159" s="876">
        <f>F159/$F$29</f>
        <v>0.11419144350769643</v>
      </c>
      <c r="M159" s="1495">
        <f>G159/$G$29</f>
        <v>0.10539507844662774</v>
      </c>
      <c r="P159" s="1492" t="s">
        <v>57</v>
      </c>
      <c r="Q159" s="1511">
        <f>D159/($D$29*$K$29)</f>
        <v>0.22666666666666666</v>
      </c>
      <c r="R159" s="1509">
        <f>E159/($E$29*$L$29)</f>
        <v>0.21044100471692193</v>
      </c>
      <c r="S159" s="1509">
        <f>F159/($F$29*$M$29)</f>
        <v>0.1903190725128274</v>
      </c>
      <c r="T159" s="1512">
        <f>G159/($G$29*$N$29)</f>
        <v>0.17565846407771291</v>
      </c>
    </row>
    <row r="160" spans="2:20" x14ac:dyDescent="0.25">
      <c r="B160" s="2060" t="s">
        <v>341</v>
      </c>
      <c r="C160" s="1467" t="s">
        <v>409</v>
      </c>
      <c r="D160" s="869">
        <f>'Scenarios technology'!AB129</f>
        <v>2850</v>
      </c>
      <c r="E160" s="869">
        <f>'Scenarios technology'!AB269</f>
        <v>2645.9861622495328</v>
      </c>
      <c r="F160" s="869">
        <f>'Scenarios technology'!AB409</f>
        <v>2392.9824558598157</v>
      </c>
      <c r="G160" s="1441">
        <f>'Scenarios technology'!AB549</f>
        <v>2208.6468645065374</v>
      </c>
      <c r="I160" s="1442" t="s">
        <v>409</v>
      </c>
      <c r="J160" s="1494">
        <f>D160/$D$30</f>
        <v>3.7999999999999999E-2</v>
      </c>
      <c r="K160" s="876">
        <f>E160/$E$30</f>
        <v>3.5279815496660434E-2</v>
      </c>
      <c r="L160" s="876">
        <f>F160/$F$30</f>
        <v>3.1906432744797542E-2</v>
      </c>
      <c r="M160" s="1495">
        <f>G160/$G$30</f>
        <v>2.9448624860087164E-2</v>
      </c>
      <c r="P160" s="1442" t="s">
        <v>409</v>
      </c>
      <c r="Q160" s="1511">
        <f>D160/($D$30*$K$30)</f>
        <v>5.4285714285714284E-2</v>
      </c>
      <c r="R160" s="1509">
        <f>E160/($E$30*$L$30)</f>
        <v>5.0399736423800627E-2</v>
      </c>
      <c r="S160" s="1509">
        <f>F160/($F$30*$M$30)</f>
        <v>4.5580618206853635E-2</v>
      </c>
      <c r="T160" s="1512">
        <f>G160/($G$30*$N$30)</f>
        <v>4.2069464085838809E-2</v>
      </c>
    </row>
    <row r="161" spans="2:20" x14ac:dyDescent="0.25">
      <c r="B161" s="2060"/>
      <c r="C161" s="1464" t="s">
        <v>291</v>
      </c>
      <c r="D161" s="869">
        <f>'Scenarios technology'!AB130</f>
        <v>2850</v>
      </c>
      <c r="E161" s="869">
        <f>'Scenarios technology'!AB270</f>
        <v>2645.9861622495328</v>
      </c>
      <c r="F161" s="869">
        <f>'Scenarios technology'!AB410</f>
        <v>2392.9824558598157</v>
      </c>
      <c r="G161" s="1441">
        <f>'Scenarios technology'!AB550</f>
        <v>2208.6468645065374</v>
      </c>
      <c r="I161" s="1443" t="s">
        <v>291</v>
      </c>
      <c r="J161" s="1494">
        <f>D161/$D$30</f>
        <v>3.7999999999999999E-2</v>
      </c>
      <c r="K161" s="876">
        <f>E161/$E$30</f>
        <v>3.5279815496660434E-2</v>
      </c>
      <c r="L161" s="876">
        <f>F161/$F$30</f>
        <v>3.1906432744797542E-2</v>
      </c>
      <c r="M161" s="1495">
        <f>G161/$G$30</f>
        <v>2.9448624860087164E-2</v>
      </c>
      <c r="P161" s="1443" t="s">
        <v>291</v>
      </c>
      <c r="Q161" s="1511">
        <f>D161/($D$30*$K$30)</f>
        <v>5.4285714285714284E-2</v>
      </c>
      <c r="R161" s="1509">
        <f>E161/($E$30*$L$30)</f>
        <v>5.0399736423800627E-2</v>
      </c>
      <c r="S161" s="1509">
        <f>F161/($F$30*$M$30)</f>
        <v>4.5580618206853635E-2</v>
      </c>
      <c r="T161" s="1512">
        <f>G161/($G$30*$N$30)</f>
        <v>4.2069464085838809E-2</v>
      </c>
    </row>
    <row r="162" spans="2:20" x14ac:dyDescent="0.25">
      <c r="B162" s="2060"/>
      <c r="C162" s="1464" t="s">
        <v>421</v>
      </c>
      <c r="D162" s="869">
        <f>'Scenarios technology'!AB131</f>
        <v>2850</v>
      </c>
      <c r="E162" s="869">
        <f>'Scenarios technology'!AB271</f>
        <v>2645.9861622495328</v>
      </c>
      <c r="F162" s="869">
        <f>'Scenarios technology'!AB411</f>
        <v>2392.9824558598157</v>
      </c>
      <c r="G162" s="1441">
        <f>'Scenarios technology'!AB551</f>
        <v>2208.6468645065374</v>
      </c>
      <c r="I162" s="1443" t="s">
        <v>297</v>
      </c>
      <c r="J162" s="1494">
        <f>D162/$D$30</f>
        <v>3.7999999999999999E-2</v>
      </c>
      <c r="K162" s="876">
        <f>E162/$E$30</f>
        <v>3.5279815496660434E-2</v>
      </c>
      <c r="L162" s="876">
        <f>F162/$F$30</f>
        <v>3.1906432744797542E-2</v>
      </c>
      <c r="M162" s="1495">
        <f>G162/$G$30</f>
        <v>2.9448624860087164E-2</v>
      </c>
      <c r="P162" s="1443" t="s">
        <v>297</v>
      </c>
      <c r="Q162" s="1511">
        <f>D162/($D$30*$K$30)</f>
        <v>5.4285714285714284E-2</v>
      </c>
      <c r="R162" s="1509">
        <f>E162/($E$30*$L$30)</f>
        <v>5.0399736423800627E-2</v>
      </c>
      <c r="S162" s="1509">
        <f>F162/($F$30*$M$30)</f>
        <v>4.5580618206853635E-2</v>
      </c>
      <c r="T162" s="1512">
        <f>G162/($G$30*$N$30)</f>
        <v>4.2069464085838809E-2</v>
      </c>
    </row>
    <row r="163" spans="2:20" ht="15.75" thickBot="1" x14ac:dyDescent="0.3">
      <c r="B163" s="2061"/>
      <c r="C163" s="1473" t="s">
        <v>57</v>
      </c>
      <c r="D163" s="1437">
        <f>'Scenarios technology'!AB132</f>
        <v>2850</v>
      </c>
      <c r="E163" s="1437">
        <f>'Scenarios technology'!AB272</f>
        <v>2645.9861622495328</v>
      </c>
      <c r="F163" s="1437">
        <f>'Scenarios technology'!AB412</f>
        <v>2392.9824558598157</v>
      </c>
      <c r="G163" s="1438">
        <f>'Scenarios technology'!AB552</f>
        <v>2208.6468645065374</v>
      </c>
      <c r="I163" s="1493" t="s">
        <v>57</v>
      </c>
      <c r="J163" s="1497">
        <f>D163/$D$30</f>
        <v>3.7999999999999999E-2</v>
      </c>
      <c r="K163" s="1498">
        <f>E163/$E$30</f>
        <v>3.5279815496660434E-2</v>
      </c>
      <c r="L163" s="1498">
        <f>F163/$F$30</f>
        <v>3.1906432744797542E-2</v>
      </c>
      <c r="M163" s="1499">
        <f>G163/$G$30</f>
        <v>2.9448624860087164E-2</v>
      </c>
      <c r="P163" s="1493" t="s">
        <v>57</v>
      </c>
      <c r="Q163" s="1515">
        <f>D163/($D$30*$K$30)</f>
        <v>5.4285714285714284E-2</v>
      </c>
      <c r="R163" s="1516">
        <f>E163/($E$30*$L$30)</f>
        <v>5.0399736423800627E-2</v>
      </c>
      <c r="S163" s="1516">
        <f>F163/($F$30*$M$30)</f>
        <v>4.5580618206853635E-2</v>
      </c>
      <c r="T163" s="1517">
        <f>G163/($G$30*$N$30)</f>
        <v>4.2069464085838809E-2</v>
      </c>
    </row>
    <row r="166" spans="2:20" x14ac:dyDescent="0.25">
      <c r="B166" s="1474"/>
      <c r="C166" s="1475" t="s">
        <v>359</v>
      </c>
      <c r="D166" s="1476"/>
      <c r="E166" s="1476"/>
      <c r="F166" s="1476"/>
      <c r="G166" s="1477"/>
    </row>
    <row r="167" spans="2:20" ht="15.75" thickBot="1" x14ac:dyDescent="0.3"/>
    <row r="168" spans="2:20" ht="15.75" thickBot="1" x14ac:dyDescent="0.3">
      <c r="C168" s="1387" t="s">
        <v>342</v>
      </c>
      <c r="D168" s="1388">
        <v>2010</v>
      </c>
      <c r="E168" s="258">
        <v>2020</v>
      </c>
      <c r="F168" s="258">
        <v>2030</v>
      </c>
      <c r="G168" s="259">
        <v>2050</v>
      </c>
    </row>
    <row r="169" spans="2:20" x14ac:dyDescent="0.25">
      <c r="B169" s="2068" t="s">
        <v>347</v>
      </c>
      <c r="C169" s="261" t="s">
        <v>356</v>
      </c>
      <c r="D169" s="1482">
        <f>'Scenarios technology'!AR6</f>
        <v>2120322</v>
      </c>
      <c r="E169" s="1478">
        <f>'Scenarios technology'!AR146</f>
        <v>2387916.5365056777</v>
      </c>
      <c r="F169" s="1478">
        <f>'Scenarios technology'!AR286</f>
        <v>2684987.3309922684</v>
      </c>
      <c r="G169" s="1479">
        <f>'Scenarios technology'!AR426</f>
        <v>2726880.0786693594</v>
      </c>
    </row>
    <row r="170" spans="2:20" x14ac:dyDescent="0.25">
      <c r="B170" s="2069"/>
      <c r="C170" s="151" t="s">
        <v>335</v>
      </c>
      <c r="D170" s="873">
        <f>'Scenarios technology'!AR24</f>
        <v>460.59602649006621</v>
      </c>
      <c r="E170" s="874">
        <f>'Scenarios technology'!AR164</f>
        <v>471.09759587600729</v>
      </c>
      <c r="F170" s="874">
        <f>'Scenarios technology'!AR304</f>
        <v>528.20140452946055</v>
      </c>
      <c r="G170" s="1480">
        <f>'Scenarios technology'!AR444</f>
        <v>541.56443178106622</v>
      </c>
    </row>
    <row r="171" spans="2:20" ht="15.75" thickBot="1" x14ac:dyDescent="0.3">
      <c r="B171" s="2070"/>
      <c r="C171" s="1483" t="s">
        <v>69</v>
      </c>
      <c r="D171" s="873">
        <f>'Scenarios technology'!AR30</f>
        <v>14509</v>
      </c>
      <c r="E171" s="874">
        <f>'Scenarios technology'!AR170</f>
        <v>14875.824822037219</v>
      </c>
      <c r="F171" s="874">
        <f>'Scenarios technology'!AR310</f>
        <v>15251.93228288598</v>
      </c>
      <c r="G171" s="1480">
        <f>'Scenarios technology'!AR450</f>
        <v>15637.792647868182</v>
      </c>
    </row>
    <row r="172" spans="2:20" x14ac:dyDescent="0.25">
      <c r="B172" s="2065" t="s">
        <v>348</v>
      </c>
      <c r="C172" s="1484" t="s">
        <v>357</v>
      </c>
      <c r="D172" s="874">
        <f>'Scenarios technology'!AR61</f>
        <v>45502</v>
      </c>
      <c r="E172" s="874">
        <f>'Scenarios technology'!AR201</f>
        <v>48948.360237792942</v>
      </c>
      <c r="F172" s="874">
        <f>'Scenarios technology'!AR341</f>
        <v>52598.870294840555</v>
      </c>
      <c r="G172" s="1480">
        <f>'Scenarios technology'!AR481</f>
        <v>56901.245694826415</v>
      </c>
    </row>
    <row r="173" spans="2:20" x14ac:dyDescent="0.25">
      <c r="B173" s="2066"/>
      <c r="C173" s="1485" t="s">
        <v>358</v>
      </c>
      <c r="D173" s="874">
        <f>'Scenarios technology'!AR73</f>
        <v>24015.993933773505</v>
      </c>
      <c r="E173" s="874">
        <f>'Scenarios technology'!AR213</f>
        <v>22729.107008717627</v>
      </c>
      <c r="F173" s="874">
        <f>'Scenarios technology'!AR353</f>
        <v>21760.223037033888</v>
      </c>
      <c r="G173" s="1480">
        <f>'Scenarios technology'!AR493</f>
        <v>21114.065561029132</v>
      </c>
    </row>
    <row r="174" spans="2:20" ht="15.75" thickBot="1" x14ac:dyDescent="0.3">
      <c r="B174" s="2067"/>
      <c r="C174" s="1486" t="s">
        <v>18</v>
      </c>
      <c r="D174" s="1487">
        <f>'Scenarios technology'!AR85</f>
        <v>462359</v>
      </c>
      <c r="E174" s="1487">
        <f>'Scenarios technology'!AR225</f>
        <v>520324.8119264844</v>
      </c>
      <c r="F174" s="1487">
        <f>'Scenarios technology'!AR365</f>
        <v>585557.7806560084</v>
      </c>
      <c r="G174" s="1488">
        <f>'Scenarios technology'!AR505</f>
        <v>659749.59163159342</v>
      </c>
    </row>
    <row r="175" spans="2:20" x14ac:dyDescent="0.25">
      <c r="B175" s="1481"/>
    </row>
    <row r="176" spans="2:20" x14ac:dyDescent="0.25">
      <c r="C176" s="2"/>
      <c r="D176" s="874"/>
      <c r="E176" s="2"/>
    </row>
    <row r="177" spans="2:5" x14ac:dyDescent="0.25">
      <c r="C177" s="2"/>
      <c r="D177" s="874"/>
      <c r="E177" s="2"/>
    </row>
    <row r="178" spans="2:5" x14ac:dyDescent="0.25">
      <c r="C178" s="2"/>
      <c r="D178" s="874"/>
      <c r="E178" s="2"/>
    </row>
    <row r="179" spans="2:5" x14ac:dyDescent="0.25">
      <c r="C179" s="2"/>
      <c r="D179" s="874"/>
      <c r="E179" s="2"/>
    </row>
    <row r="180" spans="2:5" x14ac:dyDescent="0.25">
      <c r="C180" s="2"/>
      <c r="D180" s="874"/>
      <c r="E180" s="2"/>
    </row>
    <row r="181" spans="2:5" x14ac:dyDescent="0.25">
      <c r="C181" s="2"/>
      <c r="D181" s="874"/>
      <c r="E181" s="2"/>
    </row>
    <row r="188" spans="2:5" x14ac:dyDescent="0.25">
      <c r="B188" s="885"/>
    </row>
    <row r="196" s="886" customFormat="1" x14ac:dyDescent="0.25"/>
    <row r="208" s="886" customFormat="1" x14ac:dyDescent="0.25"/>
  </sheetData>
  <sheetProtection algorithmName="SHA-512" hashValue="lowsTiQayvBMZO6YWROGMkwZytdiAhVRVfj7oCodKUnYXgN/ETIlyB7nQj6Gt99zHmqXVSHEYVnKOy0miUm9ug==" saltValue="/WUqDYcmd+wYCN5u9cUlLA==" spinCount="100000" sheet="1" objects="1" scenarios="1" selectLockedCells="1" selectUnlockedCells="1"/>
  <mergeCells count="30">
    <mergeCell ref="B172:B174"/>
    <mergeCell ref="B169:B171"/>
    <mergeCell ref="B112:T112"/>
    <mergeCell ref="B77:T77"/>
    <mergeCell ref="B146:B149"/>
    <mergeCell ref="B150:B152"/>
    <mergeCell ref="B153:B155"/>
    <mergeCell ref="B156:B159"/>
    <mergeCell ref="B160:B163"/>
    <mergeCell ref="B142:B145"/>
    <mergeCell ref="I75:J75"/>
    <mergeCell ref="C75:D75"/>
    <mergeCell ref="B113:B120"/>
    <mergeCell ref="B121:B128"/>
    <mergeCell ref="B129:B141"/>
    <mergeCell ref="B106:B109"/>
    <mergeCell ref="B66:B68"/>
    <mergeCell ref="B79:B91"/>
    <mergeCell ref="B92:B95"/>
    <mergeCell ref="B96:B102"/>
    <mergeCell ref="B103:B105"/>
    <mergeCell ref="I11:I21"/>
    <mergeCell ref="I22:I30"/>
    <mergeCell ref="I36:I46"/>
    <mergeCell ref="I47:I55"/>
    <mergeCell ref="B63:B65"/>
    <mergeCell ref="B11:B21"/>
    <mergeCell ref="B22:B30"/>
    <mergeCell ref="B36:B46"/>
    <mergeCell ref="B47:B5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vt:lpstr>
      <vt:lpstr>Results</vt:lpstr>
      <vt:lpstr>Scenarios technology</vt:lpstr>
      <vt:lpstr>Growth, Modal Shift, InfraCosts</vt:lpstr>
      <vt:lpstr>Vehicle Costs</vt:lpstr>
      <vt:lpstr>EnergyPLAN</vt:lpstr>
      <vt:lpstr>Tables and graphs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2015-07-07T08:59:05Z</dcterms:modified>
  <cp:contentStatus/>
</cp:coreProperties>
</file>